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20730" windowHeight="10335"/>
  </bookViews>
  <sheets>
    <sheet name="NASLOVNA" sheetId="15" r:id="rId1"/>
    <sheet name=" UKUPNO IZVORI" sheetId="11" r:id="rId2"/>
    <sheet name="MINGPO" sheetId="10" r:id="rId3"/>
    <sheet name="ZALIHE" sheetId="8" r:id="rId4"/>
    <sheet name=" AOPT" sheetId="7" r:id="rId5"/>
    <sheet name="AIK" sheetId="6" r:id="rId6"/>
    <sheet name="DZM" sheetId="2" r:id="rId7"/>
    <sheet name="HZN" sheetId="9" r:id="rId8"/>
    <sheet name="HAA" sheetId="3" r:id="rId9"/>
    <sheet name="HAMAG-BICRO" sheetId="19" r:id="rId10"/>
    <sheet name="HCZP" sheetId="20" r:id="rId11"/>
  </sheets>
  <definedNames>
    <definedName name="_xlnm.Print_Titles" localSheetId="4">' AOPT'!$1:$1</definedName>
    <definedName name="_xlnm.Print_Titles" localSheetId="5">AIK!$1:$1</definedName>
    <definedName name="_xlnm.Print_Titles" localSheetId="6">DZM!$1:$1</definedName>
    <definedName name="_xlnm.Print_Titles" localSheetId="8">HAA!$1:$1</definedName>
    <definedName name="_xlnm.Print_Titles" localSheetId="7">HZN!$1:$1</definedName>
    <definedName name="_xlnm.Print_Titles" localSheetId="2">MINGPO!$1:$1</definedName>
    <definedName name="_xlnm.Print_Titles" localSheetId="3">ZALIHE!$1:$1</definedName>
    <definedName name="_xlnm.Print_Area" localSheetId="4">' AOPT'!$A$1:$H$65</definedName>
    <definedName name="_xlnm.Print_Area" localSheetId="5">AIK!$A$1:$H$113</definedName>
    <definedName name="_xlnm.Print_Area" localSheetId="6">DZM!$A$1:$H$75</definedName>
    <definedName name="_xlnm.Print_Area" localSheetId="8">HAA!$A$1:$H$68</definedName>
    <definedName name="_xlnm.Print_Area" localSheetId="9">'HAMAG-BICRO'!$A$1:$I$338</definedName>
    <definedName name="_xlnm.Print_Area" localSheetId="10">HCZP!$A$1:$H$64</definedName>
    <definedName name="_xlnm.Print_Area" localSheetId="7">HZN!$A$1:$H$72</definedName>
    <definedName name="_xlnm.Print_Area" localSheetId="2">MINGPO!$A$1:$G$357</definedName>
    <definedName name="_xlnm.Print_Area" localSheetId="3">ZALIHE!$A$1:$H$126</definedName>
  </definedNames>
  <calcPr calcId="145621"/>
</workbook>
</file>

<file path=xl/calcChain.xml><?xml version="1.0" encoding="utf-8"?>
<calcChain xmlns="http://schemas.openxmlformats.org/spreadsheetml/2006/main">
  <c r="F248" i="10" l="1"/>
  <c r="G248" i="10"/>
  <c r="E248" i="10"/>
  <c r="F7" i="10"/>
  <c r="G7" i="10"/>
  <c r="E7" i="10"/>
  <c r="H10" i="19"/>
  <c r="I10" i="19"/>
  <c r="G10" i="19"/>
  <c r="H8" i="19"/>
  <c r="I8" i="19"/>
  <c r="G8" i="19"/>
  <c r="H11" i="19"/>
  <c r="I11" i="19"/>
  <c r="G11" i="19"/>
  <c r="H38" i="19"/>
  <c r="I38" i="19"/>
  <c r="G38" i="19"/>
  <c r="H51" i="19"/>
  <c r="I51" i="19"/>
  <c r="G51" i="19"/>
  <c r="I103" i="19"/>
  <c r="G4" i="19"/>
  <c r="H326" i="19"/>
  <c r="I326" i="19"/>
  <c r="G326" i="19"/>
  <c r="H319" i="19"/>
  <c r="I319" i="19"/>
  <c r="G319" i="19"/>
  <c r="G5" i="19" l="1"/>
  <c r="H242" i="19"/>
  <c r="I242" i="19"/>
  <c r="H245" i="19"/>
  <c r="I245" i="19"/>
  <c r="H239" i="19"/>
  <c r="I239" i="19"/>
  <c r="G239" i="19"/>
  <c r="H232" i="19"/>
  <c r="I232" i="19"/>
  <c r="G232" i="19"/>
  <c r="G175" i="19"/>
  <c r="I175" i="19"/>
  <c r="H175" i="19"/>
  <c r="F8" i="2"/>
  <c r="G6" i="2"/>
  <c r="H6" i="2"/>
  <c r="F6" i="2"/>
  <c r="F31" i="8" l="1"/>
  <c r="F6" i="8"/>
  <c r="E24" i="11"/>
  <c r="E15" i="11"/>
  <c r="E4" i="11"/>
  <c r="E57" i="11"/>
  <c r="I337" i="19" l="1"/>
  <c r="H337" i="19"/>
  <c r="G337" i="19"/>
  <c r="E337" i="19"/>
  <c r="D337" i="19"/>
  <c r="I335" i="19"/>
  <c r="H335" i="19"/>
  <c r="G335" i="19"/>
  <c r="E335" i="19"/>
  <c r="D335" i="19"/>
  <c r="I332" i="19"/>
  <c r="H332" i="19"/>
  <c r="G332" i="19"/>
  <c r="E332" i="19"/>
  <c r="D332" i="19"/>
  <c r="I329" i="19"/>
  <c r="H329" i="19"/>
  <c r="G329" i="19"/>
  <c r="E329" i="19"/>
  <c r="D329" i="19"/>
  <c r="E326" i="19"/>
  <c r="D326" i="19"/>
  <c r="D325" i="19"/>
  <c r="D323" i="19"/>
  <c r="E319" i="19"/>
  <c r="I316" i="19"/>
  <c r="H316" i="19"/>
  <c r="G316" i="19"/>
  <c r="E316" i="19"/>
  <c r="D316" i="19"/>
  <c r="I313" i="19"/>
  <c r="H313" i="19"/>
  <c r="G313" i="19"/>
  <c r="E313" i="19"/>
  <c r="D313" i="19"/>
  <c r="D310" i="19"/>
  <c r="D308" i="19" s="1"/>
  <c r="I308" i="19"/>
  <c r="H308" i="19"/>
  <c r="G308" i="19"/>
  <c r="E308" i="19"/>
  <c r="I305" i="19"/>
  <c r="H305" i="19"/>
  <c r="G305" i="19"/>
  <c r="E305" i="19"/>
  <c r="D305" i="19"/>
  <c r="D303" i="19"/>
  <c r="D302" i="19" s="1"/>
  <c r="I302" i="19"/>
  <c r="H302" i="19"/>
  <c r="G302" i="19"/>
  <c r="E302" i="19"/>
  <c r="D301" i="19"/>
  <c r="D300" i="19"/>
  <c r="D299" i="19"/>
  <c r="I298" i="19"/>
  <c r="H298" i="19"/>
  <c r="G298" i="19"/>
  <c r="E298" i="19"/>
  <c r="D297" i="19"/>
  <c r="D296" i="19" s="1"/>
  <c r="I296" i="19"/>
  <c r="H296" i="19"/>
  <c r="G296" i="19"/>
  <c r="E296" i="19"/>
  <c r="D295" i="19"/>
  <c r="D294" i="19"/>
  <c r="D293" i="19"/>
  <c r="D292" i="19"/>
  <c r="D291" i="19"/>
  <c r="D290" i="19"/>
  <c r="I289" i="19"/>
  <c r="H289" i="19"/>
  <c r="G289" i="19"/>
  <c r="E289" i="19"/>
  <c r="D288" i="19"/>
  <c r="D287" i="19"/>
  <c r="I286" i="19"/>
  <c r="H286" i="19"/>
  <c r="G286" i="19"/>
  <c r="E286" i="19"/>
  <c r="D285" i="19"/>
  <c r="D284" i="19"/>
  <c r="D283" i="19"/>
  <c r="D282" i="19"/>
  <c r="I281" i="19"/>
  <c r="H281" i="19"/>
  <c r="G281" i="19"/>
  <c r="E281" i="19"/>
  <c r="D280" i="19"/>
  <c r="D279" i="19"/>
  <c r="I278" i="19"/>
  <c r="H278" i="19"/>
  <c r="G278" i="19"/>
  <c r="E278" i="19"/>
  <c r="I276" i="19"/>
  <c r="H276" i="19"/>
  <c r="G276" i="19"/>
  <c r="E276" i="19"/>
  <c r="D276" i="19"/>
  <c r="D275" i="19"/>
  <c r="D274" i="19" s="1"/>
  <c r="I274" i="19"/>
  <c r="H274" i="19"/>
  <c r="G274" i="19"/>
  <c r="E274" i="19"/>
  <c r="I270" i="19"/>
  <c r="H270" i="19"/>
  <c r="G270" i="19"/>
  <c r="E270" i="19"/>
  <c r="D270" i="19"/>
  <c r="D268" i="19"/>
  <c r="D267" i="19" s="1"/>
  <c r="I267" i="19"/>
  <c r="H267" i="19"/>
  <c r="G267" i="19"/>
  <c r="E267" i="19"/>
  <c r="I265" i="19"/>
  <c r="H265" i="19"/>
  <c r="G265" i="19"/>
  <c r="E265" i="19"/>
  <c r="D265" i="19"/>
  <c r="I256" i="19"/>
  <c r="H256" i="19"/>
  <c r="G256" i="19"/>
  <c r="E256" i="19"/>
  <c r="D256" i="19"/>
  <c r="I254" i="19"/>
  <c r="H254" i="19"/>
  <c r="G254" i="19"/>
  <c r="E254" i="19"/>
  <c r="D254" i="19"/>
  <c r="I250" i="19"/>
  <c r="H250" i="19"/>
  <c r="G250" i="19"/>
  <c r="E250" i="19"/>
  <c r="D250" i="19"/>
  <c r="G245" i="19"/>
  <c r="E245" i="19"/>
  <c r="D245" i="19"/>
  <c r="G242" i="19"/>
  <c r="E242" i="19"/>
  <c r="D242" i="19"/>
  <c r="E239" i="19"/>
  <c r="D239" i="19"/>
  <c r="E232" i="19"/>
  <c r="D232" i="19"/>
  <c r="I229" i="19"/>
  <c r="I228" i="19" s="1"/>
  <c r="H229" i="19"/>
  <c r="H228" i="19" s="1"/>
  <c r="G229" i="19"/>
  <c r="E229" i="19"/>
  <c r="D229" i="19"/>
  <c r="I226" i="19"/>
  <c r="H226" i="19"/>
  <c r="G226" i="19"/>
  <c r="E226" i="19"/>
  <c r="D226" i="19"/>
  <c r="I223" i="19"/>
  <c r="H223" i="19"/>
  <c r="G223" i="19"/>
  <c r="E223" i="19"/>
  <c r="D223" i="19"/>
  <c r="D222" i="19"/>
  <c r="D220" i="19" s="1"/>
  <c r="D221" i="19"/>
  <c r="I220" i="19"/>
  <c r="H220" i="19"/>
  <c r="G220" i="19"/>
  <c r="E220" i="19"/>
  <c r="I218" i="19"/>
  <c r="H218" i="19"/>
  <c r="G218" i="19"/>
  <c r="D218" i="19"/>
  <c r="I215" i="19"/>
  <c r="H215" i="19"/>
  <c r="G215" i="19"/>
  <c r="E215" i="19"/>
  <c r="D215" i="19"/>
  <c r="I213" i="19"/>
  <c r="H213" i="19"/>
  <c r="G213" i="19"/>
  <c r="E213" i="19"/>
  <c r="D213" i="19"/>
  <c r="I211" i="19"/>
  <c r="H211" i="19"/>
  <c r="G211" i="19"/>
  <c r="E211" i="19"/>
  <c r="D211" i="19"/>
  <c r="I209" i="19"/>
  <c r="H209" i="19"/>
  <c r="G209" i="19"/>
  <c r="F209" i="19"/>
  <c r="E209" i="19"/>
  <c r="D209" i="19"/>
  <c r="I207" i="19"/>
  <c r="H207" i="19"/>
  <c r="G207" i="19"/>
  <c r="E207" i="19"/>
  <c r="D207" i="19"/>
  <c r="I198" i="19"/>
  <c r="H198" i="19"/>
  <c r="G198" i="19"/>
  <c r="E198" i="19"/>
  <c r="D198" i="19"/>
  <c r="I195" i="19"/>
  <c r="H195" i="19"/>
  <c r="G195" i="19"/>
  <c r="E195" i="19"/>
  <c r="D195" i="19"/>
  <c r="I191" i="19"/>
  <c r="H191" i="19"/>
  <c r="G191" i="19"/>
  <c r="E191" i="19"/>
  <c r="D191" i="19"/>
  <c r="D190" i="19"/>
  <c r="D189" i="19"/>
  <c r="G188" i="19"/>
  <c r="E188" i="19"/>
  <c r="I186" i="19"/>
  <c r="H186" i="19"/>
  <c r="G186" i="19"/>
  <c r="E186" i="19"/>
  <c r="D186" i="19"/>
  <c r="H184" i="19"/>
  <c r="D184" i="19"/>
  <c r="D183" i="19" s="1"/>
  <c r="G183" i="19"/>
  <c r="E183" i="19"/>
  <c r="I179" i="19"/>
  <c r="H179" i="19"/>
  <c r="G179" i="19"/>
  <c r="D175" i="19"/>
  <c r="I173" i="19"/>
  <c r="I172" i="19" s="1"/>
  <c r="H173" i="19"/>
  <c r="H172" i="19" s="1"/>
  <c r="G173" i="19"/>
  <c r="F173" i="19"/>
  <c r="E173" i="19"/>
  <c r="D173" i="19"/>
  <c r="D171" i="19"/>
  <c r="D169" i="19" s="1"/>
  <c r="I169" i="19"/>
  <c r="H169" i="19"/>
  <c r="G169" i="19"/>
  <c r="E169" i="19"/>
  <c r="I166" i="19"/>
  <c r="H166" i="19"/>
  <c r="G166" i="19"/>
  <c r="E166" i="19"/>
  <c r="D166" i="19"/>
  <c r="D163" i="19"/>
  <c r="D161" i="19" s="1"/>
  <c r="I161" i="19"/>
  <c r="H161" i="19"/>
  <c r="G161" i="19"/>
  <c r="E161" i="19"/>
  <c r="D160" i="19"/>
  <c r="D158" i="19" s="1"/>
  <c r="I158" i="19"/>
  <c r="H158" i="19"/>
  <c r="G158" i="19"/>
  <c r="E158" i="19"/>
  <c r="I155" i="19"/>
  <c r="H155" i="19"/>
  <c r="G155" i="19"/>
  <c r="E155" i="19"/>
  <c r="D155" i="19"/>
  <c r="D154" i="19"/>
  <c r="D150" i="19" s="1"/>
  <c r="I150" i="19"/>
  <c r="H150" i="19"/>
  <c r="G150" i="19"/>
  <c r="E150" i="19"/>
  <c r="D149" i="19"/>
  <c r="D147" i="19" s="1"/>
  <c r="I147" i="19"/>
  <c r="H147" i="19"/>
  <c r="G147" i="19"/>
  <c r="E147" i="19"/>
  <c r="D144" i="19"/>
  <c r="D140" i="19"/>
  <c r="D136" i="19"/>
  <c r="D132" i="19"/>
  <c r="I130" i="19"/>
  <c r="H130" i="19"/>
  <c r="G130" i="19"/>
  <c r="E130" i="19"/>
  <c r="D129" i="19"/>
  <c r="D127" i="19"/>
  <c r="I123" i="19"/>
  <c r="H123" i="19"/>
  <c r="G123" i="19"/>
  <c r="E123" i="19"/>
  <c r="I116" i="19"/>
  <c r="H116" i="19"/>
  <c r="G116" i="19"/>
  <c r="E116" i="19"/>
  <c r="D116" i="19"/>
  <c r="D115" i="19"/>
  <c r="D113" i="19"/>
  <c r="I111" i="19"/>
  <c r="H111" i="19"/>
  <c r="G111" i="19"/>
  <c r="E111" i="19"/>
  <c r="I108" i="19"/>
  <c r="H108" i="19"/>
  <c r="G108" i="19"/>
  <c r="E108" i="19"/>
  <c r="D108" i="19"/>
  <c r="D105" i="19"/>
  <c r="D104" i="19"/>
  <c r="D4" i="19" s="1"/>
  <c r="H103" i="19"/>
  <c r="G103" i="19"/>
  <c r="E103" i="19"/>
  <c r="D101" i="19"/>
  <c r="D99" i="19" s="1"/>
  <c r="D98" i="19" s="1"/>
  <c r="I99" i="19"/>
  <c r="I98" i="19" s="1"/>
  <c r="H99" i="19"/>
  <c r="H98" i="19" s="1"/>
  <c r="G99" i="19"/>
  <c r="G98" i="19" s="1"/>
  <c r="E99" i="19"/>
  <c r="E98" i="19" s="1"/>
  <c r="I96" i="19"/>
  <c r="H96" i="19"/>
  <c r="G96" i="19"/>
  <c r="E96" i="19"/>
  <c r="D96" i="19"/>
  <c r="I94" i="19"/>
  <c r="H94" i="19"/>
  <c r="G94" i="19"/>
  <c r="E94" i="19"/>
  <c r="D94" i="19"/>
  <c r="D92" i="19"/>
  <c r="D91" i="19" s="1"/>
  <c r="I91" i="19"/>
  <c r="H91" i="19"/>
  <c r="G91" i="19"/>
  <c r="E91" i="19"/>
  <c r="I89" i="19"/>
  <c r="H89" i="19"/>
  <c r="G89" i="19"/>
  <c r="E89" i="19"/>
  <c r="D89" i="19"/>
  <c r="D86" i="19"/>
  <c r="D84" i="19" s="1"/>
  <c r="I84" i="19"/>
  <c r="H84" i="19"/>
  <c r="G84" i="19"/>
  <c r="E84" i="19"/>
  <c r="D83" i="19"/>
  <c r="D81" i="19" s="1"/>
  <c r="I81" i="19"/>
  <c r="H81" i="19"/>
  <c r="G81" i="19"/>
  <c r="E81" i="19"/>
  <c r="I77" i="19"/>
  <c r="H77" i="19"/>
  <c r="G77" i="19"/>
  <c r="E77" i="19"/>
  <c r="D77" i="19"/>
  <c r="I74" i="19"/>
  <c r="H74" i="19"/>
  <c r="G74" i="19"/>
  <c r="E74" i="19"/>
  <c r="D74" i="19"/>
  <c r="I71" i="19"/>
  <c r="H71" i="19"/>
  <c r="G71" i="19"/>
  <c r="E71" i="19"/>
  <c r="D71" i="19"/>
  <c r="I69" i="19"/>
  <c r="H69" i="19"/>
  <c r="G69" i="19"/>
  <c r="E69" i="19"/>
  <c r="D69" i="19"/>
  <c r="I66" i="19"/>
  <c r="H66" i="19"/>
  <c r="G66" i="19"/>
  <c r="E66" i="19"/>
  <c r="D66" i="19"/>
  <c r="I64" i="19"/>
  <c r="H64" i="19"/>
  <c r="G64" i="19"/>
  <c r="E64" i="19"/>
  <c r="D64" i="19"/>
  <c r="I62" i="19"/>
  <c r="H62" i="19"/>
  <c r="G62" i="19"/>
  <c r="I59" i="19"/>
  <c r="H59" i="19"/>
  <c r="G59" i="19"/>
  <c r="E59" i="19"/>
  <c r="D59" i="19"/>
  <c r="D57" i="19"/>
  <c r="D51" i="19" s="1"/>
  <c r="E51" i="19"/>
  <c r="I48" i="19"/>
  <c r="H48" i="19"/>
  <c r="G48" i="19"/>
  <c r="E48" i="19"/>
  <c r="D48" i="19"/>
  <c r="D45" i="19"/>
  <c r="E38" i="19"/>
  <c r="I33" i="19"/>
  <c r="H33" i="19"/>
  <c r="G33" i="19"/>
  <c r="E33" i="19"/>
  <c r="D33" i="19"/>
  <c r="I27" i="19"/>
  <c r="H27" i="19"/>
  <c r="G27" i="19"/>
  <c r="E27" i="19"/>
  <c r="D27" i="19"/>
  <c r="I24" i="19"/>
  <c r="H24" i="19"/>
  <c r="G24" i="19"/>
  <c r="E24" i="19"/>
  <c r="D24" i="19"/>
  <c r="I22" i="19"/>
  <c r="H22" i="19"/>
  <c r="G22" i="19"/>
  <c r="E22" i="19"/>
  <c r="D22" i="19"/>
  <c r="D21" i="19"/>
  <c r="D18" i="19" s="1"/>
  <c r="I18" i="19"/>
  <c r="H18" i="19"/>
  <c r="G18" i="19"/>
  <c r="E18" i="19"/>
  <c r="G15" i="19"/>
  <c r="E15" i="19"/>
  <c r="I14" i="19"/>
  <c r="H14" i="19"/>
  <c r="G14" i="19"/>
  <c r="E14" i="19"/>
  <c r="D14" i="19"/>
  <c r="I13" i="19"/>
  <c r="H13" i="19"/>
  <c r="G13" i="19"/>
  <c r="E13" i="19"/>
  <c r="D13" i="19"/>
  <c r="I12" i="19"/>
  <c r="H12" i="19"/>
  <c r="G12" i="19"/>
  <c r="E12" i="19"/>
  <c r="E11" i="19"/>
  <c r="D11" i="19"/>
  <c r="E10" i="19"/>
  <c r="D10" i="19"/>
  <c r="I9" i="19"/>
  <c r="H9" i="19"/>
  <c r="G9" i="19"/>
  <c r="D9" i="19"/>
  <c r="D8" i="19"/>
  <c r="I7" i="19"/>
  <c r="H7" i="19"/>
  <c r="G7" i="19"/>
  <c r="I5" i="19"/>
  <c r="H5" i="19"/>
  <c r="I4" i="19"/>
  <c r="H4" i="19"/>
  <c r="E4" i="19"/>
  <c r="I3" i="19"/>
  <c r="H3" i="19"/>
  <c r="G3" i="19"/>
  <c r="E3" i="19"/>
  <c r="G182" i="19" l="1"/>
  <c r="G172" i="19"/>
  <c r="I17" i="19"/>
  <c r="H17" i="19"/>
  <c r="G17" i="19"/>
  <c r="G228" i="19"/>
  <c r="E228" i="19"/>
  <c r="D3" i="19"/>
  <c r="D6" i="19" s="1"/>
  <c r="D286" i="19"/>
  <c r="E182" i="19"/>
  <c r="D278" i="19"/>
  <c r="G217" i="19"/>
  <c r="D281" i="19"/>
  <c r="D73" i="19"/>
  <c r="I73" i="19"/>
  <c r="E172" i="19"/>
  <c r="D188" i="19"/>
  <c r="D182" i="19" s="1"/>
  <c r="E217" i="19"/>
  <c r="E334" i="19"/>
  <c r="E80" i="19"/>
  <c r="D123" i="19"/>
  <c r="D217" i="19"/>
  <c r="D15" i="19"/>
  <c r="E304" i="19"/>
  <c r="D319" i="19"/>
  <c r="D304" i="19" s="1"/>
  <c r="G334" i="19"/>
  <c r="D130" i="19"/>
  <c r="H217" i="19"/>
  <c r="G249" i="19"/>
  <c r="E249" i="19"/>
  <c r="D289" i="19"/>
  <c r="E6" i="19"/>
  <c r="D111" i="19"/>
  <c r="H249" i="19"/>
  <c r="D38" i="19"/>
  <c r="D17" i="19" s="1"/>
  <c r="H73" i="19"/>
  <c r="D12" i="19"/>
  <c r="G2" i="19"/>
  <c r="I217" i="19"/>
  <c r="H273" i="19"/>
  <c r="I102" i="19"/>
  <c r="G102" i="19"/>
  <c r="H80" i="19"/>
  <c r="E17" i="19"/>
  <c r="G73" i="19"/>
  <c r="D80" i="19"/>
  <c r="I80" i="19"/>
  <c r="H102" i="19"/>
  <c r="D298" i="19"/>
  <c r="I304" i="19"/>
  <c r="H304" i="19"/>
  <c r="G304" i="19"/>
  <c r="D5" i="19"/>
  <c r="G6" i="19"/>
  <c r="D228" i="19"/>
  <c r="D249" i="19"/>
  <c r="I249" i="19"/>
  <c r="E273" i="19"/>
  <c r="D334" i="19"/>
  <c r="I334" i="19"/>
  <c r="H334" i="19"/>
  <c r="E2" i="19"/>
  <c r="H6" i="19"/>
  <c r="D7" i="19"/>
  <c r="E73" i="19"/>
  <c r="G80" i="19"/>
  <c r="E102" i="19"/>
  <c r="D103" i="19"/>
  <c r="D172" i="19"/>
  <c r="G273" i="19"/>
  <c r="I273" i="19"/>
  <c r="I183" i="19"/>
  <c r="I6" i="19"/>
  <c r="H183" i="19"/>
  <c r="D2" i="19" l="1"/>
  <c r="D273" i="19"/>
  <c r="D102" i="19"/>
  <c r="I189" i="19"/>
  <c r="I190" i="19"/>
  <c r="H189" i="19"/>
  <c r="H190" i="19"/>
  <c r="G6" i="8"/>
  <c r="H6" i="8"/>
  <c r="G31" i="8"/>
  <c r="H31" i="8"/>
  <c r="F13" i="10"/>
  <c r="G13" i="10"/>
  <c r="E13" i="10"/>
  <c r="F14" i="10"/>
  <c r="G14" i="10"/>
  <c r="E14" i="10"/>
  <c r="E295" i="10"/>
  <c r="F293" i="10"/>
  <c r="G293" i="10"/>
  <c r="E293" i="10"/>
  <c r="E259" i="10"/>
  <c r="E257" i="10"/>
  <c r="E255" i="10"/>
  <c r="F255" i="10"/>
  <c r="G255" i="10"/>
  <c r="E4" i="10"/>
  <c r="F224" i="10"/>
  <c r="G224" i="10"/>
  <c r="E224" i="10"/>
  <c r="F238" i="10"/>
  <c r="G238" i="10"/>
  <c r="E238" i="10"/>
  <c r="F272" i="10"/>
  <c r="G272" i="10"/>
  <c r="E272" i="10"/>
  <c r="F12" i="10"/>
  <c r="G12" i="10"/>
  <c r="E12" i="10"/>
  <c r="F4" i="10"/>
  <c r="G4" i="10"/>
  <c r="F10" i="10"/>
  <c r="G10" i="10"/>
  <c r="E10" i="10"/>
  <c r="F3" i="10"/>
  <c r="G3" i="10"/>
  <c r="E3" i="10"/>
  <c r="I188" i="19" l="1"/>
  <c r="I182" i="19" s="1"/>
  <c r="I15" i="19"/>
  <c r="I2" i="19" s="1"/>
  <c r="H188" i="19"/>
  <c r="H182" i="19" s="1"/>
  <c r="H15" i="19"/>
  <c r="H2" i="19" s="1"/>
  <c r="F5" i="10"/>
  <c r="G5" i="10"/>
  <c r="F30" i="10"/>
  <c r="G30" i="10"/>
  <c r="E30" i="10"/>
  <c r="F34" i="10"/>
  <c r="G34" i="10"/>
  <c r="E34" i="10"/>
  <c r="F105" i="10"/>
  <c r="F104" i="10" s="1"/>
  <c r="G105" i="10"/>
  <c r="G104" i="10" s="1"/>
  <c r="E105" i="10"/>
  <c r="E104" i="10" s="1"/>
  <c r="F164" i="10"/>
  <c r="F163" i="10" s="1"/>
  <c r="G164" i="10"/>
  <c r="G163" i="10" s="1"/>
  <c r="E164" i="10"/>
  <c r="E163" i="10" s="1"/>
  <c r="F306" i="10"/>
  <c r="G306" i="10"/>
  <c r="E306" i="10"/>
  <c r="F303" i="10"/>
  <c r="G303" i="10"/>
  <c r="E303" i="10"/>
  <c r="F309" i="10"/>
  <c r="G309" i="10"/>
  <c r="E309" i="10"/>
  <c r="E131" i="10"/>
  <c r="F131" i="10"/>
  <c r="G131" i="10"/>
  <c r="F8" i="10"/>
  <c r="G8" i="10"/>
  <c r="E8" i="10"/>
  <c r="F240" i="10"/>
  <c r="G240" i="10"/>
  <c r="E240" i="10"/>
  <c r="F50" i="10"/>
  <c r="G50" i="10"/>
  <c r="E50" i="10"/>
  <c r="E302" i="10" l="1"/>
  <c r="F302" i="10"/>
  <c r="G302" i="10"/>
  <c r="F291" i="10"/>
  <c r="G291" i="10"/>
  <c r="E291" i="10"/>
  <c r="F295" i="10"/>
  <c r="G295" i="10"/>
  <c r="F349" i="10"/>
  <c r="G349" i="10"/>
  <c r="E349" i="10"/>
  <c r="E5" i="10" l="1"/>
  <c r="E123" i="10"/>
  <c r="F135" i="10"/>
  <c r="G135" i="10"/>
  <c r="F226" i="10" l="1"/>
  <c r="G226" i="10"/>
  <c r="E226" i="10"/>
  <c r="F229" i="10"/>
  <c r="G229" i="10"/>
  <c r="E229" i="10"/>
  <c r="F232" i="10"/>
  <c r="G232" i="10"/>
  <c r="E232" i="10"/>
  <c r="G298" i="10"/>
  <c r="F298" i="10"/>
  <c r="E298" i="10"/>
  <c r="G288" i="10"/>
  <c r="F288" i="10"/>
  <c r="E288" i="10"/>
  <c r="G283" i="10"/>
  <c r="F283" i="10"/>
  <c r="E283" i="10"/>
  <c r="G279" i="10"/>
  <c r="F279" i="10"/>
  <c r="E279" i="10"/>
  <c r="G268" i="10"/>
  <c r="F268" i="10"/>
  <c r="E268" i="10"/>
  <c r="E252" i="10"/>
  <c r="G265" i="10"/>
  <c r="F265" i="10"/>
  <c r="E265" i="10"/>
  <c r="G263" i="10"/>
  <c r="F263" i="10"/>
  <c r="E263" i="10"/>
  <c r="G261" i="10"/>
  <c r="F261" i="10"/>
  <c r="E261" i="10"/>
  <c r="G259" i="10"/>
  <c r="F259" i="10"/>
  <c r="G257" i="10"/>
  <c r="F257" i="10"/>
  <c r="G252" i="10"/>
  <c r="F252" i="10"/>
  <c r="F57" i="11"/>
  <c r="F59" i="11" s="1"/>
  <c r="G57" i="11"/>
  <c r="G59" i="11" s="1"/>
  <c r="E59" i="11"/>
  <c r="G287" i="10" l="1"/>
  <c r="E287" i="10"/>
  <c r="F287" i="10"/>
  <c r="G251" i="10"/>
  <c r="F251" i="10"/>
  <c r="E251" i="10"/>
  <c r="F267" i="10"/>
  <c r="G267" i="10"/>
  <c r="E267" i="10"/>
  <c r="F51" i="11" l="1"/>
  <c r="G51" i="11"/>
  <c r="E51" i="11"/>
  <c r="F24" i="11"/>
  <c r="G24" i="11"/>
  <c r="F342" i="10"/>
  <c r="G342" i="10"/>
  <c r="E342" i="10"/>
  <c r="E146" i="10"/>
  <c r="F146" i="10"/>
  <c r="G146" i="10"/>
  <c r="F57" i="10"/>
  <c r="G57" i="10"/>
  <c r="E57" i="10"/>
  <c r="F45" i="10"/>
  <c r="G45" i="10"/>
  <c r="E45" i="10"/>
  <c r="G169" i="10" l="1"/>
  <c r="E9" i="10"/>
  <c r="E11" i="10"/>
  <c r="E6" i="10"/>
  <c r="E327" i="10"/>
  <c r="E321" i="10"/>
  <c r="E316" i="10"/>
  <c r="E243" i="10"/>
  <c r="E235" i="10"/>
  <c r="E215" i="10"/>
  <c r="E197" i="10"/>
  <c r="E190" i="10"/>
  <c r="E181" i="10"/>
  <c r="E176" i="10"/>
  <c r="E169" i="10"/>
  <c r="E354" i="10" l="1"/>
  <c r="E135" i="10"/>
  <c r="E134" i="10" s="1"/>
  <c r="E115" i="10"/>
  <c r="E114" i="10" s="1"/>
  <c r="E98" i="10"/>
  <c r="E97" i="10" s="1"/>
  <c r="E20" i="10"/>
  <c r="E17" i="10"/>
  <c r="F9" i="10"/>
  <c r="G9" i="10"/>
  <c r="F123" i="10"/>
  <c r="G123" i="10"/>
  <c r="G11" i="10"/>
  <c r="F169" i="10"/>
  <c r="F181" i="10" l="1"/>
  <c r="G181" i="10"/>
  <c r="F190" i="10"/>
  <c r="G190" i="10"/>
  <c r="F197" i="10"/>
  <c r="G197" i="10"/>
  <c r="F212" i="10"/>
  <c r="G212" i="10"/>
  <c r="E212" i="10"/>
  <c r="E168" i="10" s="1"/>
  <c r="F215" i="10"/>
  <c r="G215" i="10"/>
  <c r="F243" i="10"/>
  <c r="G243" i="10"/>
  <c r="E167" i="10" l="1"/>
  <c r="F327" i="10"/>
  <c r="G327" i="10"/>
  <c r="F325" i="10"/>
  <c r="G325" i="10"/>
  <c r="E325" i="10"/>
  <c r="F332" i="10"/>
  <c r="G332" i="10"/>
  <c r="E332" i="10"/>
  <c r="F334" i="10"/>
  <c r="G334" i="10"/>
  <c r="E334" i="10"/>
  <c r="E324" i="10" l="1"/>
  <c r="F324" i="10"/>
  <c r="G324" i="10"/>
  <c r="G57" i="2"/>
  <c r="H57" i="2"/>
  <c r="F57" i="2"/>
  <c r="F119" i="10"/>
  <c r="G119" i="10"/>
  <c r="E119" i="10"/>
  <c r="F6" i="10"/>
  <c r="G6" i="10"/>
  <c r="G354" i="10" s="1"/>
  <c r="G115" i="10"/>
  <c r="F115" i="10"/>
  <c r="F128" i="10" l="1"/>
  <c r="G128" i="10"/>
  <c r="E128" i="10"/>
  <c r="E127" i="10" s="1"/>
  <c r="F98" i="10" l="1"/>
  <c r="F97" i="10" s="1"/>
  <c r="G98" i="10"/>
  <c r="G97" i="10" s="1"/>
  <c r="H6" i="20" l="1"/>
  <c r="G6" i="20"/>
  <c r="F6" i="20"/>
  <c r="H3" i="20"/>
  <c r="H2" i="20" s="1"/>
  <c r="G3" i="20"/>
  <c r="F3" i="20"/>
  <c r="D3" i="20"/>
  <c r="D6" i="20"/>
  <c r="H62" i="20"/>
  <c r="G62" i="20"/>
  <c r="F62" i="20"/>
  <c r="D62" i="20"/>
  <c r="H60" i="20"/>
  <c r="G60" i="20"/>
  <c r="F60" i="20"/>
  <c r="D60" i="20"/>
  <c r="H54" i="20"/>
  <c r="G54" i="20"/>
  <c r="F54" i="20"/>
  <c r="D54" i="20"/>
  <c r="H48" i="20"/>
  <c r="G48" i="20"/>
  <c r="F48" i="20"/>
  <c r="D48" i="20"/>
  <c r="H46" i="20"/>
  <c r="G46" i="20"/>
  <c r="F46" i="20"/>
  <c r="D46" i="20"/>
  <c r="H31" i="20"/>
  <c r="G31" i="20"/>
  <c r="F31" i="20"/>
  <c r="D31" i="20"/>
  <c r="H25" i="20"/>
  <c r="G25" i="20"/>
  <c r="F25" i="20"/>
  <c r="D25" i="20"/>
  <c r="H18" i="20"/>
  <c r="G18" i="20"/>
  <c r="F18" i="20"/>
  <c r="D18" i="20"/>
  <c r="H15" i="20"/>
  <c r="G15" i="20"/>
  <c r="F15" i="20"/>
  <c r="D15" i="20"/>
  <c r="H13" i="20"/>
  <c r="G13" i="20"/>
  <c r="F13" i="20"/>
  <c r="D13" i="20"/>
  <c r="H11" i="20"/>
  <c r="H10" i="20" s="1"/>
  <c r="G11" i="20"/>
  <c r="F11" i="20"/>
  <c r="D11" i="20"/>
  <c r="D10" i="20" s="1"/>
  <c r="G10" i="20" l="1"/>
  <c r="G2" i="20"/>
  <c r="F10" i="20"/>
  <c r="F2" i="20"/>
  <c r="D2" i="20"/>
  <c r="G114" i="6"/>
  <c r="H114" i="6"/>
  <c r="F114" i="6"/>
  <c r="F4" i="6"/>
  <c r="F8" i="6"/>
  <c r="H117" i="6"/>
  <c r="G117" i="6"/>
  <c r="F117" i="6"/>
  <c r="H115" i="6"/>
  <c r="G115" i="6"/>
  <c r="F115" i="6"/>
  <c r="H112" i="6"/>
  <c r="G112" i="6"/>
  <c r="F112" i="6"/>
  <c r="H110" i="6"/>
  <c r="G110" i="6"/>
  <c r="F110" i="6"/>
  <c r="H106" i="6"/>
  <c r="G106" i="6"/>
  <c r="F106" i="6"/>
  <c r="H102" i="6"/>
  <c r="G102" i="6"/>
  <c r="F102" i="6"/>
  <c r="H99" i="6"/>
  <c r="G99" i="6"/>
  <c r="F99" i="6"/>
  <c r="H96" i="6"/>
  <c r="G96" i="6"/>
  <c r="F96" i="6"/>
  <c r="H94" i="6"/>
  <c r="G94" i="6"/>
  <c r="F94" i="6"/>
  <c r="H90" i="6"/>
  <c r="G90" i="6"/>
  <c r="F90" i="6"/>
  <c r="H88" i="6"/>
  <c r="G88" i="6"/>
  <c r="F88" i="6"/>
  <c r="H84" i="6"/>
  <c r="G84" i="6"/>
  <c r="F84" i="6"/>
  <c r="H80" i="6"/>
  <c r="G80" i="6"/>
  <c r="F80" i="6"/>
  <c r="H77" i="6"/>
  <c r="G77" i="6"/>
  <c r="F77" i="6"/>
  <c r="H73" i="6"/>
  <c r="G73" i="6"/>
  <c r="F73" i="6"/>
  <c r="H69" i="6"/>
  <c r="G69" i="6"/>
  <c r="F69" i="6"/>
  <c r="H66" i="6"/>
  <c r="G66" i="6"/>
  <c r="F66" i="6"/>
  <c r="H62" i="6"/>
  <c r="G62" i="6"/>
  <c r="F62" i="6"/>
  <c r="H58" i="6"/>
  <c r="G58" i="6"/>
  <c r="F58" i="6"/>
  <c r="H55" i="6"/>
  <c r="G55" i="6"/>
  <c r="F55" i="6"/>
  <c r="H53" i="6"/>
  <c r="G53" i="6"/>
  <c r="F53" i="6"/>
  <c r="H49" i="6"/>
  <c r="G49" i="6"/>
  <c r="F49" i="6"/>
  <c r="H43" i="6"/>
  <c r="G43" i="6"/>
  <c r="F43" i="6"/>
  <c r="H33" i="6"/>
  <c r="G33" i="6"/>
  <c r="F33" i="6"/>
  <c r="H28" i="6"/>
  <c r="G28" i="6"/>
  <c r="F28" i="6"/>
  <c r="H23" i="6"/>
  <c r="G23" i="6"/>
  <c r="F23" i="6"/>
  <c r="H20" i="6"/>
  <c r="G20" i="6"/>
  <c r="F20" i="6"/>
  <c r="H18" i="6"/>
  <c r="G18" i="6"/>
  <c r="F18" i="6"/>
  <c r="H14" i="6"/>
  <c r="G14" i="6"/>
  <c r="F14" i="6"/>
  <c r="F57" i="6" l="1"/>
  <c r="F109" i="6"/>
  <c r="H65" i="6"/>
  <c r="H87" i="6"/>
  <c r="G57" i="6"/>
  <c r="F87" i="6"/>
  <c r="F76" i="6"/>
  <c r="H76" i="6"/>
  <c r="H109" i="6"/>
  <c r="G76" i="6"/>
  <c r="F13" i="6"/>
  <c r="H57" i="6"/>
  <c r="F65" i="6"/>
  <c r="G13" i="6"/>
  <c r="H13" i="6"/>
  <c r="F98" i="6"/>
  <c r="G65" i="6"/>
  <c r="G87" i="6"/>
  <c r="H98" i="6"/>
  <c r="G109" i="6"/>
  <c r="G98" i="6"/>
  <c r="D6" i="3"/>
  <c r="G61" i="3"/>
  <c r="F61" i="3"/>
  <c r="D61" i="3"/>
  <c r="F2" i="6" l="1"/>
  <c r="H2" i="6"/>
  <c r="G2" i="6"/>
  <c r="H71" i="9"/>
  <c r="G71" i="9"/>
  <c r="F71" i="9"/>
  <c r="E71" i="9"/>
  <c r="D71" i="9"/>
  <c r="H69" i="9"/>
  <c r="G69" i="9"/>
  <c r="F69" i="9"/>
  <c r="E69" i="9"/>
  <c r="D69" i="9"/>
  <c r="H67" i="9"/>
  <c r="G67" i="9"/>
  <c r="F67" i="9"/>
  <c r="E67" i="9"/>
  <c r="D67" i="9"/>
  <c r="H65" i="9"/>
  <c r="G65" i="9"/>
  <c r="F65" i="9"/>
  <c r="D65" i="9"/>
  <c r="H61" i="9"/>
  <c r="G61" i="9"/>
  <c r="F61" i="9"/>
  <c r="D61" i="9"/>
  <c r="H58" i="9"/>
  <c r="H57" i="9" s="1"/>
  <c r="G58" i="9"/>
  <c r="G57" i="9" s="1"/>
  <c r="F58" i="9"/>
  <c r="F57" i="9" s="1"/>
  <c r="D58" i="9"/>
  <c r="D57" i="9" s="1"/>
  <c r="H54" i="9"/>
  <c r="G54" i="9"/>
  <c r="F54" i="9"/>
  <c r="D54" i="9"/>
  <c r="H50" i="9"/>
  <c r="G50" i="9"/>
  <c r="F50" i="9"/>
  <c r="D50" i="9"/>
  <c r="H42" i="9"/>
  <c r="G42" i="9"/>
  <c r="F42" i="9"/>
  <c r="D42" i="9"/>
  <c r="H32" i="9"/>
  <c r="G32" i="9"/>
  <c r="F32" i="9"/>
  <c r="D32" i="9"/>
  <c r="H26" i="9"/>
  <c r="G26" i="9"/>
  <c r="F26" i="9"/>
  <c r="D26" i="9"/>
  <c r="H22" i="9"/>
  <c r="G22" i="9"/>
  <c r="F22" i="9"/>
  <c r="D22" i="9"/>
  <c r="H19" i="9"/>
  <c r="G19" i="9"/>
  <c r="F19" i="9"/>
  <c r="D19" i="9"/>
  <c r="H17" i="9"/>
  <c r="G17" i="9"/>
  <c r="F17" i="9"/>
  <c r="D17" i="9"/>
  <c r="H14" i="9"/>
  <c r="G14" i="9"/>
  <c r="F14" i="9"/>
  <c r="D14" i="9"/>
  <c r="D13" i="9" s="1"/>
  <c r="G64" i="9" l="1"/>
  <c r="H64" i="9"/>
  <c r="F64" i="9"/>
  <c r="H13" i="9"/>
  <c r="G13" i="9"/>
  <c r="F13" i="9"/>
  <c r="D64" i="9"/>
  <c r="H125" i="8"/>
  <c r="G125" i="8"/>
  <c r="F125" i="8"/>
  <c r="D125" i="8"/>
  <c r="H123" i="8"/>
  <c r="G123" i="8"/>
  <c r="F123" i="8"/>
  <c r="F122" i="8" s="1"/>
  <c r="D123" i="8"/>
  <c r="D122" i="8" s="1"/>
  <c r="H122" i="8"/>
  <c r="G122" i="8"/>
  <c r="H120" i="8"/>
  <c r="H119" i="8" s="1"/>
  <c r="G120" i="8"/>
  <c r="F120" i="8"/>
  <c r="F119" i="8" s="1"/>
  <c r="D120" i="8"/>
  <c r="G119" i="8"/>
  <c r="D119" i="8"/>
  <c r="H117" i="8"/>
  <c r="G117" i="8"/>
  <c r="G116" i="8" s="1"/>
  <c r="G8" i="8" s="1"/>
  <c r="F117" i="8"/>
  <c r="F116" i="8" s="1"/>
  <c r="D117" i="8"/>
  <c r="D116" i="8" s="1"/>
  <c r="H116" i="8"/>
  <c r="H114" i="8"/>
  <c r="G114" i="8"/>
  <c r="F114" i="8"/>
  <c r="D114" i="8"/>
  <c r="H112" i="8"/>
  <c r="H111" i="8" s="1"/>
  <c r="G112" i="8"/>
  <c r="F112" i="8"/>
  <c r="F111" i="8" s="1"/>
  <c r="D112" i="8"/>
  <c r="D111" i="8" s="1"/>
  <c r="G111" i="8"/>
  <c r="H109" i="8"/>
  <c r="G109" i="8"/>
  <c r="G108" i="8" s="1"/>
  <c r="F109" i="8"/>
  <c r="D109" i="8"/>
  <c r="D108" i="8" s="1"/>
  <c r="H108" i="8"/>
  <c r="F108" i="8"/>
  <c r="H106" i="8"/>
  <c r="G106" i="8"/>
  <c r="F106" i="8"/>
  <c r="F105" i="8" s="1"/>
  <c r="D106" i="8"/>
  <c r="D105" i="8" s="1"/>
  <c r="H105" i="8"/>
  <c r="G105" i="8"/>
  <c r="H103" i="8"/>
  <c r="G103" i="8"/>
  <c r="F103" i="8"/>
  <c r="D103" i="8"/>
  <c r="H100" i="8"/>
  <c r="G100" i="8"/>
  <c r="F100" i="8"/>
  <c r="D100" i="8"/>
  <c r="H97" i="8"/>
  <c r="G97" i="8"/>
  <c r="F97" i="8"/>
  <c r="D97" i="8"/>
  <c r="H89" i="8"/>
  <c r="G89" i="8"/>
  <c r="F89" i="8"/>
  <c r="D89" i="8"/>
  <c r="H85" i="8"/>
  <c r="G85" i="8"/>
  <c r="F85" i="8"/>
  <c r="D85" i="8"/>
  <c r="H82" i="8"/>
  <c r="G82" i="8"/>
  <c r="F82" i="8"/>
  <c r="D82" i="8"/>
  <c r="G81" i="8"/>
  <c r="H79" i="8"/>
  <c r="G79" i="8"/>
  <c r="F79" i="8"/>
  <c r="D79" i="8"/>
  <c r="H77" i="8"/>
  <c r="G77" i="8"/>
  <c r="F77" i="8"/>
  <c r="D77" i="8"/>
  <c r="D76" i="8" s="1"/>
  <c r="H74" i="8"/>
  <c r="G74" i="8"/>
  <c r="F74" i="8"/>
  <c r="D74" i="8"/>
  <c r="H69" i="8"/>
  <c r="H68" i="8" s="1"/>
  <c r="G69" i="8"/>
  <c r="G68" i="8" s="1"/>
  <c r="F69" i="8"/>
  <c r="F68" i="8" s="1"/>
  <c r="D69" i="8"/>
  <c r="D68" i="8" s="1"/>
  <c r="H66" i="8"/>
  <c r="H65" i="8" s="1"/>
  <c r="G66" i="8"/>
  <c r="G65" i="8" s="1"/>
  <c r="F66" i="8"/>
  <c r="F65" i="8" s="1"/>
  <c r="D66" i="8"/>
  <c r="D65" i="8" s="1"/>
  <c r="H63" i="8"/>
  <c r="H62" i="8" s="1"/>
  <c r="G63" i="8"/>
  <c r="G62" i="8" s="1"/>
  <c r="F63" i="8"/>
  <c r="F62" i="8" s="1"/>
  <c r="D63" i="8"/>
  <c r="D62" i="8" s="1"/>
  <c r="H60" i="8"/>
  <c r="H59" i="8" s="1"/>
  <c r="G60" i="8"/>
  <c r="G59" i="8" s="1"/>
  <c r="F60" i="8"/>
  <c r="F59" i="8" s="1"/>
  <c r="D60" i="8"/>
  <c r="D59" i="8" s="1"/>
  <c r="H57" i="8"/>
  <c r="G57" i="8"/>
  <c r="F57" i="8"/>
  <c r="D57" i="8"/>
  <c r="H52" i="8"/>
  <c r="G52" i="8"/>
  <c r="F52" i="8"/>
  <c r="D52" i="8"/>
  <c r="H49" i="8"/>
  <c r="G49" i="8"/>
  <c r="F49" i="8"/>
  <c r="D49" i="8"/>
  <c r="H42" i="8"/>
  <c r="G42" i="8"/>
  <c r="F42" i="8"/>
  <c r="D42" i="8"/>
  <c r="H40" i="8"/>
  <c r="G40" i="8"/>
  <c r="F40" i="8"/>
  <c r="D40" i="8"/>
  <c r="D31" i="8"/>
  <c r="H26" i="8"/>
  <c r="G26" i="8"/>
  <c r="F26" i="8"/>
  <c r="D26" i="8"/>
  <c r="H22" i="8"/>
  <c r="G22" i="8"/>
  <c r="F22" i="8"/>
  <c r="D22" i="8"/>
  <c r="H19" i="8"/>
  <c r="G19" i="8"/>
  <c r="F19" i="8"/>
  <c r="D19" i="8"/>
  <c r="H17" i="8"/>
  <c r="G17" i="8"/>
  <c r="F17" i="8"/>
  <c r="D17" i="8"/>
  <c r="H15" i="8"/>
  <c r="G15" i="8"/>
  <c r="F15" i="8"/>
  <c r="F14" i="8" s="1"/>
  <c r="D15" i="8"/>
  <c r="D14" i="8" s="1"/>
  <c r="H81" i="8" l="1"/>
  <c r="F81" i="8"/>
  <c r="G14" i="8"/>
  <c r="G3" i="8" s="1"/>
  <c r="H14" i="8"/>
  <c r="H3" i="8" s="1"/>
  <c r="H76" i="8"/>
  <c r="G76" i="8"/>
  <c r="F76" i="8"/>
  <c r="F3" i="8" s="1"/>
  <c r="D81" i="8"/>
  <c r="G346" i="10"/>
  <c r="G345" i="10" s="1"/>
  <c r="D339" i="10"/>
  <c r="E339" i="10"/>
  <c r="E337" i="10"/>
  <c r="F321" i="10"/>
  <c r="G321" i="10"/>
  <c r="D319" i="10"/>
  <c r="E319" i="10"/>
  <c r="F319" i="10"/>
  <c r="G319" i="10"/>
  <c r="F316" i="10"/>
  <c r="G316" i="10"/>
  <c r="D314" i="10"/>
  <c r="E314" i="10"/>
  <c r="F314" i="10"/>
  <c r="G314" i="10"/>
  <c r="D11" i="10"/>
  <c r="F11" i="10"/>
  <c r="F354" i="10" s="1"/>
  <c r="E93" i="10"/>
  <c r="F84" i="10"/>
  <c r="G84" i="10"/>
  <c r="E84" i="10"/>
  <c r="F68" i="10"/>
  <c r="G68" i="10"/>
  <c r="E68" i="10"/>
  <c r="E7" i="20"/>
  <c r="D5" i="20"/>
  <c r="F2" i="8" l="1"/>
  <c r="F308" i="10"/>
  <c r="E308" i="10"/>
  <c r="G308" i="10"/>
  <c r="E336" i="10"/>
  <c r="F5" i="20"/>
  <c r="G5" i="20"/>
  <c r="F36" i="11" l="1"/>
  <c r="F4" i="11"/>
  <c r="G4" i="11"/>
  <c r="F127" i="10"/>
  <c r="G134" i="10"/>
  <c r="F351" i="10"/>
  <c r="F348" i="10" s="1"/>
  <c r="G351" i="10"/>
  <c r="G348" i="10" s="1"/>
  <c r="F337" i="10"/>
  <c r="G337" i="10"/>
  <c r="F339" i="10"/>
  <c r="G339" i="10"/>
  <c r="G336" i="10" l="1"/>
  <c r="F336" i="10"/>
  <c r="D93" i="10" l="1"/>
  <c r="F93" i="10"/>
  <c r="G93" i="10"/>
  <c r="E95" i="10"/>
  <c r="E92" i="10" s="1"/>
  <c r="F95" i="10"/>
  <c r="G95" i="10"/>
  <c r="G36" i="11"/>
  <c r="E351" i="10"/>
  <c r="E348" i="10" s="1"/>
  <c r="F346" i="10"/>
  <c r="F345" i="10" s="1"/>
  <c r="E346" i="10"/>
  <c r="E345" i="10" s="1"/>
  <c r="G341" i="10"/>
  <c r="G301" i="10" s="1"/>
  <c r="E341" i="10"/>
  <c r="F341" i="10"/>
  <c r="F301" i="10" s="1"/>
  <c r="E301" i="10" l="1"/>
  <c r="F92" i="10"/>
  <c r="G92" i="10"/>
  <c r="D51" i="11" l="1"/>
  <c r="G39" i="11"/>
  <c r="F39" i="11"/>
  <c r="E39" i="11"/>
  <c r="D39" i="11"/>
  <c r="G7" i="9"/>
  <c r="G4" i="9"/>
  <c r="G3" i="9" l="1"/>
  <c r="G5" i="9" s="1"/>
  <c r="G2" i="9"/>
  <c r="F3" i="6" l="1"/>
  <c r="F5" i="6" s="1"/>
  <c r="F66" i="3" l="1"/>
  <c r="F8" i="3" s="1"/>
  <c r="F59" i="3"/>
  <c r="F57" i="3"/>
  <c r="F53" i="3"/>
  <c r="F50" i="3"/>
  <c r="F43" i="3"/>
  <c r="F41" i="3"/>
  <c r="F32" i="3"/>
  <c r="F26" i="3"/>
  <c r="F22" i="3"/>
  <c r="F19" i="3"/>
  <c r="F17" i="3"/>
  <c r="F14" i="3"/>
  <c r="G64" i="7"/>
  <c r="G63" i="7" s="1"/>
  <c r="G61" i="7"/>
  <c r="G59" i="7"/>
  <c r="G54" i="7"/>
  <c r="G50" i="7"/>
  <c r="G43" i="7"/>
  <c r="G33" i="7"/>
  <c r="G27" i="7"/>
  <c r="G23" i="7"/>
  <c r="G20" i="7"/>
  <c r="G18" i="7"/>
  <c r="G14" i="7"/>
  <c r="F74" i="2"/>
  <c r="F72" i="2"/>
  <c r="F69" i="2"/>
  <c r="F68" i="2" s="1"/>
  <c r="F66" i="2"/>
  <c r="F62" i="2"/>
  <c r="F59" i="2"/>
  <c r="F56" i="2" s="1"/>
  <c r="F52" i="2"/>
  <c r="F45" i="2"/>
  <c r="F35" i="2"/>
  <c r="F27" i="2"/>
  <c r="F22" i="2"/>
  <c r="F19" i="2"/>
  <c r="F17" i="2"/>
  <c r="F14" i="2"/>
  <c r="F12" i="8"/>
  <c r="H4" i="6"/>
  <c r="F61" i="2" l="1"/>
  <c r="G58" i="7"/>
  <c r="F56" i="3"/>
  <c r="F13" i="3"/>
  <c r="F2" i="3" s="1"/>
  <c r="G13" i="7"/>
  <c r="F71" i="2"/>
  <c r="F13" i="2"/>
  <c r="F8" i="8"/>
  <c r="F3" i="2" l="1"/>
  <c r="F5" i="2" s="1"/>
  <c r="F2" i="2" s="1"/>
  <c r="F7" i="8"/>
  <c r="F3" i="3"/>
  <c r="F5" i="3" s="1"/>
  <c r="G3" i="7"/>
  <c r="G5" i="7" s="1"/>
  <c r="G2" i="7"/>
  <c r="F5" i="8"/>
  <c r="D117" i="6" l="1"/>
  <c r="D115" i="6"/>
  <c r="D114" i="6" l="1"/>
  <c r="E36" i="11" l="1"/>
  <c r="E32" i="11"/>
  <c r="E28" i="11"/>
  <c r="E22" i="11"/>
  <c r="G90" i="10"/>
  <c r="G67" i="3"/>
  <c r="G66" i="3" s="1"/>
  <c r="G8" i="3" s="1"/>
  <c r="G59" i="3"/>
  <c r="G57" i="3"/>
  <c r="G53" i="3"/>
  <c r="G50" i="3"/>
  <c r="G43" i="3"/>
  <c r="G41" i="3"/>
  <c r="G32" i="3"/>
  <c r="G26" i="3"/>
  <c r="G22" i="3"/>
  <c r="G19" i="3"/>
  <c r="G17" i="3"/>
  <c r="G14" i="3"/>
  <c r="F7" i="9"/>
  <c r="F4" i="9"/>
  <c r="G74" i="2"/>
  <c r="G72" i="2"/>
  <c r="G69" i="2"/>
  <c r="G68" i="2" s="1"/>
  <c r="G66" i="2"/>
  <c r="G62" i="2"/>
  <c r="G59" i="2"/>
  <c r="G56" i="2" s="1"/>
  <c r="G52" i="2"/>
  <c r="G45" i="2"/>
  <c r="G35" i="2"/>
  <c r="G27" i="2"/>
  <c r="G22" i="2"/>
  <c r="G19" i="2"/>
  <c r="G17" i="2"/>
  <c r="G14" i="2"/>
  <c r="G8" i="2"/>
  <c r="F64" i="7"/>
  <c r="F63" i="7" s="1"/>
  <c r="F61" i="7"/>
  <c r="F59" i="7"/>
  <c r="F54" i="7"/>
  <c r="F50" i="7"/>
  <c r="F43" i="7"/>
  <c r="F33" i="7"/>
  <c r="F27" i="7"/>
  <c r="F23" i="7"/>
  <c r="F20" i="7"/>
  <c r="F18" i="7"/>
  <c r="F14" i="7"/>
  <c r="E21" i="11" l="1"/>
  <c r="E54" i="11"/>
  <c r="G56" i="3"/>
  <c r="G12" i="8"/>
  <c r="G7" i="8"/>
  <c r="G61" i="2"/>
  <c r="G71" i="2"/>
  <c r="F58" i="7"/>
  <c r="F13" i="7"/>
  <c r="G13" i="3"/>
  <c r="G13" i="2"/>
  <c r="G3" i="3" l="1"/>
  <c r="G5" i="3" s="1"/>
  <c r="G2" i="3"/>
  <c r="G3" i="2"/>
  <c r="G5" i="2" s="1"/>
  <c r="G2" i="2" s="1"/>
  <c r="G2" i="8"/>
  <c r="F3" i="7"/>
  <c r="F5" i="7" s="1"/>
  <c r="F2" i="7"/>
  <c r="G5" i="8"/>
  <c r="G3" i="6"/>
  <c r="G5" i="6" s="1"/>
  <c r="F3" i="9"/>
  <c r="F5" i="9" s="1"/>
  <c r="F2" i="9"/>
  <c r="D112" i="6" l="1"/>
  <c r="D110" i="6"/>
  <c r="D106" i="6"/>
  <c r="D102" i="6"/>
  <c r="D99" i="6"/>
  <c r="D96" i="6"/>
  <c r="D94" i="6"/>
  <c r="D90" i="6"/>
  <c r="D88" i="6"/>
  <c r="D84" i="6"/>
  <c r="D80" i="6"/>
  <c r="D77" i="6"/>
  <c r="D73" i="6"/>
  <c r="D69" i="6"/>
  <c r="D66" i="6"/>
  <c r="D62" i="6"/>
  <c r="D58" i="6"/>
  <c r="D55" i="6"/>
  <c r="D53" i="6"/>
  <c r="D49" i="6"/>
  <c r="D43" i="6"/>
  <c r="D33" i="6"/>
  <c r="D28" i="6"/>
  <c r="D23" i="6"/>
  <c r="D20" i="6"/>
  <c r="D18" i="6"/>
  <c r="D14" i="6"/>
  <c r="D64" i="7"/>
  <c r="D63" i="7" s="1"/>
  <c r="D61" i="7"/>
  <c r="D59" i="7"/>
  <c r="D54" i="7"/>
  <c r="D50" i="7"/>
  <c r="D43" i="7"/>
  <c r="D33" i="7"/>
  <c r="D27" i="7"/>
  <c r="D23" i="7"/>
  <c r="D20" i="7"/>
  <c r="D18" i="7"/>
  <c r="D14" i="7"/>
  <c r="D58" i="7" l="1"/>
  <c r="D65" i="6"/>
  <c r="D57" i="6"/>
  <c r="D13" i="6"/>
  <c r="D109" i="6"/>
  <c r="D87" i="6"/>
  <c r="D98" i="6"/>
  <c r="D76" i="6"/>
  <c r="D13" i="7"/>
  <c r="D3" i="7" l="1"/>
  <c r="D5" i="7" s="1"/>
  <c r="D3" i="6"/>
  <c r="D5" i="6" s="1"/>
  <c r="D2" i="6"/>
  <c r="D2" i="7"/>
  <c r="D67" i="3"/>
  <c r="D66" i="3" s="1"/>
  <c r="D8" i="3" s="1"/>
  <c r="D59" i="3"/>
  <c r="D57" i="3"/>
  <c r="D53" i="3"/>
  <c r="D50" i="3"/>
  <c r="D43" i="3"/>
  <c r="D41" i="3"/>
  <c r="D32" i="3"/>
  <c r="D26" i="3"/>
  <c r="D22" i="3"/>
  <c r="D19" i="3"/>
  <c r="D17" i="3"/>
  <c r="D14" i="3"/>
  <c r="D7" i="9"/>
  <c r="D4" i="9"/>
  <c r="D74" i="2"/>
  <c r="D72" i="2"/>
  <c r="D69" i="2"/>
  <c r="D68" i="2" s="1"/>
  <c r="D66" i="2"/>
  <c r="D62" i="2"/>
  <c r="D59" i="2"/>
  <c r="D56" i="2" s="1"/>
  <c r="D52" i="2"/>
  <c r="D45" i="2"/>
  <c r="D35" i="2"/>
  <c r="D27" i="2"/>
  <c r="D22" i="2"/>
  <c r="D19" i="2"/>
  <c r="D17" i="2"/>
  <c r="D14" i="2"/>
  <c r="D8" i="2"/>
  <c r="D6" i="2"/>
  <c r="D71" i="2" l="1"/>
  <c r="D13" i="2"/>
  <c r="D61" i="2"/>
  <c r="D13" i="3"/>
  <c r="D56" i="3"/>
  <c r="F42" i="10"/>
  <c r="F25" i="10"/>
  <c r="G114" i="10"/>
  <c r="F114" i="10"/>
  <c r="H8" i="2"/>
  <c r="H22" i="2"/>
  <c r="D2" i="3" l="1"/>
  <c r="D3" i="3"/>
  <c r="D5" i="3" s="1"/>
  <c r="D3" i="2"/>
  <c r="D5" i="2" s="1"/>
  <c r="D2" i="2" s="1"/>
  <c r="D8" i="8"/>
  <c r="D12" i="8"/>
  <c r="D3" i="9"/>
  <c r="D5" i="9" s="1"/>
  <c r="D2" i="9"/>
  <c r="D7" i="8" l="1"/>
  <c r="D3" i="8"/>
  <c r="D5" i="8" s="1"/>
  <c r="D2" i="8"/>
  <c r="G25" i="10"/>
  <c r="E25" i="10"/>
  <c r="H7" i="9" l="1"/>
  <c r="H45" i="2"/>
  <c r="H27" i="2"/>
  <c r="H54" i="7" l="1"/>
  <c r="H67" i="3" l="1"/>
  <c r="H66" i="3" s="1"/>
  <c r="H8" i="3" s="1"/>
  <c r="F134" i="10" l="1"/>
  <c r="F28" i="11"/>
  <c r="F15" i="11"/>
  <c r="F176" i="10" l="1"/>
  <c r="F235" i="10"/>
  <c r="F157" i="10"/>
  <c r="G157" i="10"/>
  <c r="F168" i="10" l="1"/>
  <c r="F167" i="10"/>
  <c r="H12" i="8"/>
  <c r="F62" i="10" l="1"/>
  <c r="F54" i="10"/>
  <c r="G42" i="10"/>
  <c r="F17" i="10"/>
  <c r="G17" i="10"/>
  <c r="F22" i="10"/>
  <c r="G22" i="10"/>
  <c r="F53" i="10" l="1"/>
  <c r="G32" i="11" l="1"/>
  <c r="G28" i="11"/>
  <c r="G22" i="11"/>
  <c r="G21" i="11" s="1"/>
  <c r="G15" i="11"/>
  <c r="G235" i="10"/>
  <c r="G176" i="10"/>
  <c r="G168" i="10" s="1"/>
  <c r="G160" i="10"/>
  <c r="F160" i="10"/>
  <c r="E160" i="10"/>
  <c r="E157" i="10"/>
  <c r="G143" i="10"/>
  <c r="F143" i="10"/>
  <c r="E143" i="10"/>
  <c r="G127" i="10"/>
  <c r="G121" i="10"/>
  <c r="G118" i="10" s="1"/>
  <c r="F121" i="10"/>
  <c r="F118" i="10" s="1"/>
  <c r="E121" i="10"/>
  <c r="E118" i="10" s="1"/>
  <c r="G112" i="10"/>
  <c r="G111" i="10" s="1"/>
  <c r="F112" i="10"/>
  <c r="F111" i="10" s="1"/>
  <c r="E112" i="10"/>
  <c r="E111" i="10" s="1"/>
  <c r="G109" i="10"/>
  <c r="G108" i="10" s="1"/>
  <c r="F109" i="10"/>
  <c r="F108" i="10" s="1"/>
  <c r="E109" i="10"/>
  <c r="E108" i="10" s="1"/>
  <c r="G89" i="10"/>
  <c r="F90" i="10"/>
  <c r="F89" i="10" s="1"/>
  <c r="E90" i="10"/>
  <c r="E89" i="10" s="1"/>
  <c r="G87" i="10"/>
  <c r="G83" i="10" s="1"/>
  <c r="F87" i="10"/>
  <c r="F83" i="10" s="1"/>
  <c r="E87" i="10"/>
  <c r="E83" i="10" s="1"/>
  <c r="G81" i="10"/>
  <c r="F81" i="10"/>
  <c r="E81" i="10"/>
  <c r="G77" i="10"/>
  <c r="F77" i="10"/>
  <c r="E77" i="10"/>
  <c r="G73" i="10"/>
  <c r="F73" i="10"/>
  <c r="E73" i="10"/>
  <c r="G66" i="10"/>
  <c r="F66" i="10"/>
  <c r="E66" i="10"/>
  <c r="G62" i="10"/>
  <c r="E62" i="10"/>
  <c r="G54" i="10"/>
  <c r="E54" i="10"/>
  <c r="E42" i="10"/>
  <c r="E22" i="10"/>
  <c r="G20" i="10"/>
  <c r="F20" i="10"/>
  <c r="G167" i="10" l="1"/>
  <c r="F103" i="10"/>
  <c r="E103" i="10"/>
  <c r="G103" i="10"/>
  <c r="G54" i="11"/>
  <c r="E142" i="10"/>
  <c r="E126" i="10" s="1"/>
  <c r="E16" i="10"/>
  <c r="E53" i="10"/>
  <c r="G53" i="10"/>
  <c r="F142" i="10"/>
  <c r="F126" i="10" s="1"/>
  <c r="G16" i="10"/>
  <c r="F16" i="10"/>
  <c r="F72" i="10"/>
  <c r="G65" i="10"/>
  <c r="F65" i="10"/>
  <c r="G72" i="10"/>
  <c r="E65" i="10"/>
  <c r="E72" i="10"/>
  <c r="G142" i="10"/>
  <c r="G126" i="10" s="1"/>
  <c r="H14" i="7"/>
  <c r="F2" i="10" l="1"/>
  <c r="G2" i="10"/>
  <c r="E2" i="10"/>
  <c r="G15" i="10"/>
  <c r="F15" i="10"/>
  <c r="E15" i="10"/>
  <c r="G355" i="10" l="1"/>
  <c r="F355" i="10"/>
  <c r="E355" i="10"/>
  <c r="H8" i="8"/>
  <c r="H19" i="2"/>
  <c r="D36" i="11" l="1"/>
  <c r="F32" i="11"/>
  <c r="D32" i="11"/>
  <c r="D28" i="11"/>
  <c r="D24" i="11"/>
  <c r="F22" i="11"/>
  <c r="D22" i="11"/>
  <c r="D15" i="11"/>
  <c r="D4" i="11"/>
  <c r="F21" i="11" l="1"/>
  <c r="F54" i="11"/>
  <c r="D21" i="11"/>
  <c r="D54" i="11"/>
  <c r="H64" i="7" l="1"/>
  <c r="H63" i="7" s="1"/>
  <c r="H61" i="7"/>
  <c r="H59" i="7"/>
  <c r="H50" i="7"/>
  <c r="H43" i="7"/>
  <c r="H33" i="7"/>
  <c r="H27" i="7"/>
  <c r="H23" i="7"/>
  <c r="H20" i="7"/>
  <c r="H18" i="7"/>
  <c r="H58" i="7" l="1"/>
  <c r="H13" i="7"/>
  <c r="H3" i="7" l="1"/>
  <c r="H2" i="7"/>
  <c r="H5" i="7" l="1"/>
  <c r="H3" i="6" l="1"/>
  <c r="H59" i="3"/>
  <c r="H57" i="3"/>
  <c r="H53" i="3"/>
  <c r="H50" i="3"/>
  <c r="H43" i="3"/>
  <c r="H41" i="3"/>
  <c r="H32" i="3"/>
  <c r="H26" i="3"/>
  <c r="H22" i="3"/>
  <c r="H19" i="3"/>
  <c r="H17" i="3"/>
  <c r="H14" i="3"/>
  <c r="H5" i="6" l="1"/>
  <c r="H56" i="3"/>
  <c r="H13" i="3"/>
  <c r="H2" i="3" s="1"/>
  <c r="H74" i="2"/>
  <c r="H72" i="2"/>
  <c r="H69" i="2"/>
  <c r="H68" i="2" s="1"/>
  <c r="H66" i="2"/>
  <c r="H62" i="2"/>
  <c r="H59" i="2"/>
  <c r="H56" i="2" s="1"/>
  <c r="H52" i="2"/>
  <c r="H35" i="2"/>
  <c r="H17" i="2"/>
  <c r="H14" i="2"/>
  <c r="H13" i="2" l="1"/>
  <c r="H4" i="9"/>
  <c r="H3" i="3"/>
  <c r="H5" i="3" s="1"/>
  <c r="H61" i="2"/>
  <c r="H71" i="2"/>
  <c r="H3" i="2" l="1"/>
  <c r="H3" i="9"/>
  <c r="H5" i="9" s="1"/>
  <c r="H2" i="9"/>
  <c r="H5" i="2" l="1"/>
  <c r="H2" i="2" s="1"/>
  <c r="H2" i="8" l="1"/>
  <c r="H5" i="8"/>
  <c r="H7" i="8"/>
</calcChain>
</file>

<file path=xl/comments1.xml><?xml version="1.0" encoding="utf-8"?>
<comments xmlns="http://schemas.openxmlformats.org/spreadsheetml/2006/main">
  <authors>
    <author>MinFin</author>
  </authors>
  <commentList>
    <comment ref="A117" authorId="0">
      <text>
        <r>
          <rPr>
            <b/>
            <sz val="8"/>
            <color indexed="81"/>
            <rFont val="Tahoma"/>
            <family val="2"/>
            <charset val="238"/>
          </rPr>
          <t>npr. 5521</t>
        </r>
      </text>
    </comment>
  </commentList>
</comments>
</file>

<file path=xl/sharedStrings.xml><?xml version="1.0" encoding="utf-8"?>
<sst xmlns="http://schemas.openxmlformats.org/spreadsheetml/2006/main" count="4343" uniqueCount="467">
  <si>
    <t>11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</si>
  <si>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</si>
  <si>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</si>
  <si>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</si>
  <si>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</si>
  <si>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</si>
  <si>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</si>
  <si>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</si>
  <si>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</si>
  <si>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</si>
  <si>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</si>
  <si>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</si>
  <si>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</si>
  <si>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</si>
  <si>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</si>
  <si>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 enosti</t>
  </si>
  <si>
    <t>321</t>
  </si>
  <si>
    <t>Naknade troškova zaposlenima</t>
  </si>
  <si>
    <t>3211</t>
  </si>
  <si>
    <t>Službena putovanja</t>
  </si>
  <si>
    <t>3212</t>
  </si>
  <si>
    <t>Naknade za prijevoz, za rad na terenu i odvojeni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</si>
  <si>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</si>
  <si>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</si>
  <si>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</si>
  <si>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</si>
  <si>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</si>
  <si>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</si>
  <si>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</si>
  <si>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</si>
  <si>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</si>
  <si>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</si>
  <si>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</si>
  <si>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</si>
  <si>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</si>
  <si>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</si>
  <si>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</si>
  <si>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</si>
  <si>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</si>
  <si>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</si>
  <si>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</si>
  <si>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</si>
  <si>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</si>
  <si>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</si>
  <si>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</si>
  <si>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</si>
  <si>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</si>
  <si>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</si>
  <si>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</si>
  <si>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</si>
  <si>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</si>
  <si>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</si>
  <si>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</si>
  <si>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</si>
  <si>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</si>
  <si>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</si>
  <si>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</si>
  <si>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</si>
  <si>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</si>
  <si>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</si>
  <si>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predstavn.i izvršnih tijela, povje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</si>
  <si>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</si>
  <si>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</si>
  <si>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</si>
  <si>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</si>
  <si>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</si>
  <si>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</si>
  <si>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</si>
  <si>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</si>
  <si>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</si>
  <si>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</si>
  <si>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</si>
  <si>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</si>
  <si>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</si>
  <si>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</si>
  <si>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</si>
  <si>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</si>
  <si>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</si>
  <si>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381</t>
  </si>
  <si>
    <t>Tekuće donacije</t>
  </si>
  <si>
    <t>3811</t>
  </si>
  <si>
    <t>Tekuće donacije u novcu</t>
  </si>
  <si>
    <t>12</t>
  </si>
  <si>
    <t>412</t>
  </si>
  <si>
    <t>Nematerijalna imovina</t>
  </si>
  <si>
    <t>4123</t>
  </si>
  <si>
    <t>Licence</t>
  </si>
  <si>
    <t>INFORMATIZACIJA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</si>
  <si>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</si>
  <si>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</si>
  <si>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</si>
  <si>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</si>
  <si>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</si>
  <si>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</si>
  <si>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</si>
  <si>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</si>
  <si>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4225</t>
  </si>
  <si>
    <t>Instrumenti, uređaji i strojevi</t>
  </si>
  <si>
    <t>OBNOVA VOZNOG PARKA</t>
  </si>
  <si>
    <t>04910</t>
  </si>
  <si>
    <t>Ravnateljstvo za robne zalihe</t>
  </si>
  <si>
    <t>A561000</t>
  </si>
  <si>
    <t>ADMINISTRACIJA I UPRAVLJANJE RAVNATELJSTVA ZA ROBNE ZALIHE</t>
  </si>
  <si>
    <t>3227</t>
  </si>
  <si>
    <t>Službena, radna i zaštitna odjeća i obuća</t>
  </si>
  <si>
    <t>3296</t>
  </si>
  <si>
    <t>Troškovi sudskih postupaka</t>
  </si>
  <si>
    <t>A561001</t>
  </si>
  <si>
    <t>SKLADIŠTENJE I ČUVANJE ROBNIH ZALIHA</t>
  </si>
  <si>
    <t>K400262</t>
  </si>
  <si>
    <t>K561016</t>
  </si>
  <si>
    <t>NABAVA ROBNIH ZALIHA REPUBLIKE HRVATSKE</t>
  </si>
  <si>
    <t>441</t>
  </si>
  <si>
    <t>Strateške zalihe</t>
  </si>
  <si>
    <t>4411</t>
  </si>
  <si>
    <t>K561026</t>
  </si>
  <si>
    <t>SANACIJA ŠTETA OD POPLAVA</t>
  </si>
  <si>
    <t>04970</t>
  </si>
  <si>
    <t>Državni zavod za mjeriteljstvo</t>
  </si>
  <si>
    <t>A762000</t>
  </si>
  <si>
    <t>ADMINISTRACIJA I UPRAVLJANJE DRŽAVNOG ZAVODA ZA MJERITELJSTV</t>
  </si>
  <si>
    <t>3222</t>
  </si>
  <si>
    <t>Materijal i sirovine</t>
  </si>
  <si>
    <t>K762001</t>
  </si>
  <si>
    <t>OSIGUR.POTR.RAZ.KVALITETE KROZ PROCESE AKREDITACIJE I CERT.</t>
  </si>
  <si>
    <t>K762002</t>
  </si>
  <si>
    <t>IZGRADNJA I OPREMANJE POSLOVNOG PROSTORA</t>
  </si>
  <si>
    <t>451</t>
  </si>
  <si>
    <t>Dodatna ulaganja na građevinskim objektima</t>
  </si>
  <si>
    <t>4511</t>
  </si>
  <si>
    <t>K762003</t>
  </si>
  <si>
    <t>K762004</t>
  </si>
  <si>
    <t>INFORMATIZACIJA ZAVODA</t>
  </si>
  <si>
    <t>04980</t>
  </si>
  <si>
    <t>Hrvatski zavod za norme</t>
  </si>
  <si>
    <t>A651002</t>
  </si>
  <si>
    <t>ADMINISTRACIJA I UPRAVLJANJE HRVATSKOG ZAVODA ZA NORME</t>
  </si>
  <si>
    <t>A651012</t>
  </si>
  <si>
    <t>PROJEKT CIP E-COMMENTS</t>
  </si>
  <si>
    <t>K651011</t>
  </si>
  <si>
    <t>426</t>
  </si>
  <si>
    <t>Nemat. proizvedena imovina</t>
  </si>
  <si>
    <t>4262</t>
  </si>
  <si>
    <t>Ulag.u račun. programe</t>
  </si>
  <si>
    <t>04985</t>
  </si>
  <si>
    <t>Hrvatska akreditacijska agencija</t>
  </si>
  <si>
    <t>A652002</t>
  </si>
  <si>
    <t>ADMINISTRACIJA I UPRAVLJANJE HRVATSKE AKREDITACIJSKE AGENCIJ</t>
  </si>
  <si>
    <t>K652006</t>
  </si>
  <si>
    <t>3112</t>
  </si>
  <si>
    <t>Plaće u naravi</t>
  </si>
  <si>
    <t>RAZVOJNA SURADNJA I HUMANITARNA POMOĆ INOZEMSTVU</t>
  </si>
  <si>
    <t>44389</t>
  </si>
  <si>
    <t>Agencija za opremu pod tlakom</t>
  </si>
  <si>
    <t>A817022</t>
  </si>
  <si>
    <t>ADMINISTRACIJA I UPRAVLJANJE AGENCIJE ZA OPREMU POD TLAKOM</t>
  </si>
  <si>
    <t>K822022</t>
  </si>
  <si>
    <t>K822030</t>
  </si>
  <si>
    <t>47641</t>
  </si>
  <si>
    <t>Agencija za investicije i konkurentnost</t>
  </si>
  <si>
    <t>A817048</t>
  </si>
  <si>
    <t>3214</t>
  </si>
  <si>
    <t>Ostale naknade troškova zaposlenima</t>
  </si>
  <si>
    <t>A864007</t>
  </si>
  <si>
    <t>PROMIDŽBA ULAGANJA I KONKURENTNOSTI</t>
  </si>
  <si>
    <t>A864008</t>
  </si>
  <si>
    <t>PRIVLAČENJE INVESTICIJA</t>
  </si>
  <si>
    <t>A864009</t>
  </si>
  <si>
    <t>POVEĆANJE KONKURENTNOSTI</t>
  </si>
  <si>
    <t>K822048</t>
  </si>
  <si>
    <t>OPREMANJE I INFORMATIZACIJA</t>
  </si>
  <si>
    <t>4227</t>
  </si>
  <si>
    <t>Uređaji, strojevi i oprema za ostale namjene</t>
  </si>
  <si>
    <t>372</t>
  </si>
  <si>
    <t>3721</t>
  </si>
  <si>
    <t>Naknade građanima i kućanstvima u novcu</t>
  </si>
  <si>
    <t>421</t>
  </si>
  <si>
    <t>Građevinski objekti</t>
  </si>
  <si>
    <t>4214</t>
  </si>
  <si>
    <t>Ostali građevinski objekti</t>
  </si>
  <si>
    <t>Izvor</t>
  </si>
  <si>
    <t>Nematerijalna proizvedena imovina</t>
  </si>
  <si>
    <t>Ulaganje u računalne programe</t>
  </si>
  <si>
    <t>AKTIVNOST JAVNO-PRIVATNOG PARTNERSTVA</t>
  </si>
  <si>
    <t>Službena, radna, zaštitna odjeća</t>
  </si>
  <si>
    <t>04905</t>
  </si>
  <si>
    <t>A560000</t>
  </si>
  <si>
    <t>ADMINISTRACIJA I UPRAVLJANJE</t>
  </si>
  <si>
    <t>K406386</t>
  </si>
  <si>
    <t>K560021</t>
  </si>
  <si>
    <t>OPREMANJE</t>
  </si>
  <si>
    <t>K560102</t>
  </si>
  <si>
    <t>A817065</t>
  </si>
  <si>
    <t>INSPEKCIJSKI POSLOVI U GOSPODARSTVU</t>
  </si>
  <si>
    <t>A560004</t>
  </si>
  <si>
    <t>PROVEDBA MJERA ZA POTICANJE ULAGANJA</t>
  </si>
  <si>
    <t>352</t>
  </si>
  <si>
    <t>3522</t>
  </si>
  <si>
    <t>Subvencije trgovačkim društvima izvan javnog sekt</t>
  </si>
  <si>
    <t>A560050</t>
  </si>
  <si>
    <t>SANACIJA I RESTRUKTURIRANJE TRGOVAČKIH DRUŠTAVA U PRETEŽITOM</t>
  </si>
  <si>
    <t>A817070</t>
  </si>
  <si>
    <t>MJERE IMPLEMENTACIJE INDUSTRIJSKE STRATEGIJE</t>
  </si>
  <si>
    <t>A822028</t>
  </si>
  <si>
    <t>RESTRUKTURIRANJE BRODOGRADILIŠTA</t>
  </si>
  <si>
    <t>A822046</t>
  </si>
  <si>
    <t>PROVOĐENJE AKTIVNOSTI ZA ODRŽIVI RAZVOJ INDUSTRIJE</t>
  </si>
  <si>
    <t>351</t>
  </si>
  <si>
    <t>A560054</t>
  </si>
  <si>
    <t>NACIONALNI PROGRAM ZA  ZAŠTITU POTROŠAČA</t>
  </si>
  <si>
    <t>A822035</t>
  </si>
  <si>
    <t>RAZVOJ UNUTARNJEG TRŽIŠTA</t>
  </si>
  <si>
    <t>K822056</t>
  </si>
  <si>
    <t>EUROPSKI POTROŠAČKI CENTAR HRVATSKA (ECC-NET)</t>
  </si>
  <si>
    <t>K817068</t>
  </si>
  <si>
    <t>OP KONKURENTNOST I KOHEZIJA 2014.-2020.</t>
  </si>
  <si>
    <t>43</t>
  </si>
  <si>
    <t>K561022</t>
  </si>
  <si>
    <t>DODATNA ULAGANJA U VLASTITA SKLADIŠTA</t>
  </si>
  <si>
    <t>Dodatna ulaganja u vlastita skladišta</t>
  </si>
  <si>
    <t>Funk. podr.</t>
  </si>
  <si>
    <t>4302 STVARANJE, OBNAVLJANJE I KORIŠTENJE ROBNIH ZALIHA</t>
  </si>
  <si>
    <t>3222 USPOSTAVA I KOORDINACIJA NACIONALNOG MJERITELJSKOG SUSTAVA RH</t>
  </si>
  <si>
    <t>3220 RAZVOJ I ODRŽAVANJE NORMIZACIJSKOG SUSTAVA ZA RH</t>
  </si>
  <si>
    <t>0471</t>
  </si>
  <si>
    <t>0421</t>
  </si>
  <si>
    <t>1090</t>
  </si>
  <si>
    <t>0411</t>
  </si>
  <si>
    <t>3221 ODRŽAVANJE I RAZVOJ SUSTAVA AKREDITACIJE U RH</t>
  </si>
  <si>
    <t>Prekovremeni</t>
  </si>
  <si>
    <t>0487</t>
  </si>
  <si>
    <t>3218 UNPREĐENJE SIGURNOSTI LJUDI, IMOVINE I OKOLIŠA</t>
  </si>
  <si>
    <t>0442</t>
  </si>
  <si>
    <t>0490</t>
  </si>
  <si>
    <t>563</t>
  </si>
  <si>
    <t>51</t>
  </si>
  <si>
    <t>368</t>
  </si>
  <si>
    <t>Pomoći temeljem prijenosa EU sredstava</t>
  </si>
  <si>
    <t>Tekuće pomoći temeljem prijenosa EU sredstava</t>
  </si>
  <si>
    <t>Kapitalne pomoći temeljem prijenosa EU sredstava</t>
  </si>
  <si>
    <t>384</t>
  </si>
  <si>
    <t>Prijenosi EU sredstava subjektima izvan općeg proračuna</t>
  </si>
  <si>
    <t>Tekući prijenosi EU sredstava subjektima izvan općeg proračuna</t>
  </si>
  <si>
    <t>Kapitalni prijenosi EU sredstava subjektima izvan općeg proračuna</t>
  </si>
  <si>
    <t>A864012</t>
  </si>
  <si>
    <t>A864011</t>
  </si>
  <si>
    <t>RED. BR.</t>
  </si>
  <si>
    <t>RAZDJEL / GLAVA</t>
  </si>
  <si>
    <t>NAZIV KORISNIKA</t>
  </si>
  <si>
    <t>TEKUĆI PRORAČUN 2014.</t>
  </si>
  <si>
    <t>1</t>
  </si>
  <si>
    <t>2</t>
  </si>
  <si>
    <t>3</t>
  </si>
  <si>
    <t>4</t>
  </si>
  <si>
    <t>5</t>
  </si>
  <si>
    <t>6</t>
  </si>
  <si>
    <t>049 05</t>
  </si>
  <si>
    <t>049 10</t>
  </si>
  <si>
    <t>3.1.</t>
  </si>
  <si>
    <t>3.2.</t>
  </si>
  <si>
    <t>049 70</t>
  </si>
  <si>
    <t>049 80</t>
  </si>
  <si>
    <t>049 85</t>
  </si>
  <si>
    <t>049</t>
  </si>
  <si>
    <t>52</t>
  </si>
  <si>
    <t>53</t>
  </si>
  <si>
    <t>PROJEKT PROSAFE - ZAJEDNIČKA AKCIJA</t>
  </si>
  <si>
    <t>LIMIT</t>
  </si>
  <si>
    <t>3201 PRIPREMA I PROVEDBA PROGRAMA I AKTIVNOSTI U SVRHU OSTVARENJA STRATEŠKIH CILJEVA ZA JAČANJE GOSPODARSTVA RH</t>
  </si>
  <si>
    <t>3203 RAZVOJ, UNAPREĐENJE KONKURENTNOSTI I RESTRUKTURIRANJE INDUSTRIJE</t>
  </si>
  <si>
    <t xml:space="preserve">3215 RAZVOJ I STANDARDIZACIJA TRGOVINE I UNUTARNJEG TRŽIŠTA </t>
  </si>
  <si>
    <t>3216 JAČANJE KONKURENTNOSTI GOSPODARSTVA POTICANJEM INVESTICIJA I UČINKOVITIM KORIŠTENJEM EU SREDSTAVA</t>
  </si>
  <si>
    <t>31</t>
  </si>
  <si>
    <t>71</t>
  </si>
  <si>
    <t>- 329</t>
  </si>
  <si>
    <t>A817072</t>
  </si>
  <si>
    <t>JAČANJE ADMINISTRATIVNIH KAPACITETA U SUSTAVU JAVNE NABAVE S NAGLASKOM NA KRITERIJU ENP</t>
  </si>
  <si>
    <t>3223 PRIVLAČENJE INVESTICIJA I POVEĆANJE KONKURENTNOSTI</t>
  </si>
  <si>
    <t>IZVOR 11-OPĆI PRIHODI I PRIMICI</t>
  </si>
  <si>
    <t>IZVOR 12-SREDSTVA UČEŠĆA ZA POMOĆI</t>
  </si>
  <si>
    <t>IZVOR 31-VLASTITI PRIHODI</t>
  </si>
  <si>
    <t>IZVOR 43-OSTALI PRIHODI ZA POSEBNE NAMJENE</t>
  </si>
  <si>
    <t>IZVOR 51-POMOĆI EU</t>
  </si>
  <si>
    <t>IZVOR 563-ERDF-EF ZA REGIONALNI RAZVOJ</t>
  </si>
  <si>
    <t>IZVOR 52-OSTALE POMOĆI I DAROVNICE</t>
  </si>
  <si>
    <t>IZVOR 71-PRIHODI OD PRODAJE ILI ZAMJENE NEFIN.IMOVINE</t>
  </si>
  <si>
    <t xml:space="preserve">Proračunski korisnici u gospodarstvu </t>
  </si>
  <si>
    <t>Nematrijalna proizvedena imovina</t>
  </si>
  <si>
    <t>Ulaganja u računalne programe</t>
  </si>
  <si>
    <t>K561027</t>
  </si>
  <si>
    <t>HITNA POMOĆ - MIGRANTI</t>
  </si>
  <si>
    <t>Instrumenti,uređaji, strojevi</t>
  </si>
  <si>
    <t>575</t>
  </si>
  <si>
    <t>Doprinosi za obvezno osiguranje u slučaju nezaposlenosti</t>
  </si>
  <si>
    <t xml:space="preserve">Ostale naknade građ.i kućan.iz proračuna </t>
  </si>
  <si>
    <t>423</t>
  </si>
  <si>
    <t>Prijevozna sredstva</t>
  </si>
  <si>
    <t>Osobni automobil</t>
  </si>
  <si>
    <t>IZVOR 575-FONDOVI ZA UNUTARNJE POSLOVE</t>
  </si>
  <si>
    <t>ADMINISTRACIJA I UPRAVLJANJE AIK-a</t>
  </si>
  <si>
    <t>Otplata glavnice primljenih zajmova od tuzemnih  fin.institucija izvan javnog sektora</t>
  </si>
  <si>
    <t>Tekući plan 2016.</t>
  </si>
  <si>
    <t>Tekući plan  2016.</t>
  </si>
  <si>
    <t xml:space="preserve"> </t>
  </si>
  <si>
    <t>dr.sc. Martina Dalić</t>
  </si>
  <si>
    <t xml:space="preserve">POTPREDSJEDNICA VLADE I MINISTRICA
</t>
  </si>
  <si>
    <t>A817073</t>
  </si>
  <si>
    <t>A864013</t>
  </si>
  <si>
    <t>INSTRUMENT ZA KOMBINIRANJE EUROPSKIH STRUKTURNIH I INVESTICIJSKIH FONDOVA I JAVNO-PRIVATNOG PARTNERSTVA</t>
  </si>
  <si>
    <t>HRVATSKI CENTAR ZA ZADRUŽNO PODUZETNIŠTVO</t>
  </si>
  <si>
    <t>049 90</t>
  </si>
  <si>
    <t>049 95</t>
  </si>
  <si>
    <t>Hrvatski centar za zadružno poduzetništvo</t>
  </si>
  <si>
    <t>Hrvatska agencija za malo gospodarstvo, inovacije i investicije, HAMAG-BICRO</t>
  </si>
  <si>
    <t>049 65</t>
  </si>
  <si>
    <t>559</t>
  </si>
  <si>
    <t>561</t>
  </si>
  <si>
    <t>PROVEDBA MJERA ZA POTICANJE KONKURENTNOSTI</t>
  </si>
  <si>
    <t>Kapitalne pomoći</t>
  </si>
  <si>
    <t>Kapitalne pomoći obrtnicima</t>
  </si>
  <si>
    <t>RAZVOJ I ODRŽAVANJE SRED.INF.SUSTAV MG</t>
  </si>
  <si>
    <t>SUBVENCIJE KAMATA ZA PODUZETNIČKE KREDITE</t>
  </si>
  <si>
    <t>ULAGANJE U FONDOVE ZA GOSPODARSKU SURAD.</t>
  </si>
  <si>
    <t>531</t>
  </si>
  <si>
    <t>Prenosi EU sredstava subjektima izvan općeg</t>
  </si>
  <si>
    <t>Tekuće prijenosi EU sredstava subjektima izvan općeg</t>
  </si>
  <si>
    <t>0481</t>
  </si>
  <si>
    <t>POTICANJE EDUKACIJE -SEECEL-REGIONALNI RAZ.</t>
  </si>
  <si>
    <t>512</t>
  </si>
  <si>
    <t>Izdaci za dane depozite neprofitnim org</t>
  </si>
  <si>
    <t>Zajmovi neprofitnim organizacijama</t>
  </si>
  <si>
    <t>OP REGIONALNA KONKURENTNOST, PRIORITET 2 I 3</t>
  </si>
  <si>
    <t>386</t>
  </si>
  <si>
    <t>PROVEDBA EU STRATEGIJE ZA DUNAVSKU REGIJU</t>
  </si>
  <si>
    <t>81</t>
  </si>
  <si>
    <t>Ostale naknade troškova zaposlenika</t>
  </si>
  <si>
    <t>Negativne tečajne razlike</t>
  </si>
  <si>
    <t>Izdaci za otplatu glavnice primljenih kredita</t>
  </si>
  <si>
    <t>A560095</t>
  </si>
  <si>
    <t>MLADI U PODUZETNIŠTVU I POD.POČETNICI - MIKROKREDITI</t>
  </si>
  <si>
    <t xml:space="preserve">Subvencije trg.društvima, poljoprivrednicima i obrtnicima izvan javnog sektora </t>
  </si>
  <si>
    <t>Subvencije poljoprivrednicima i obrtnicima</t>
  </si>
  <si>
    <t>516</t>
  </si>
  <si>
    <t>Izdaci za dane zajmove trg.društvima i obrtnicima izvan javnog sektora</t>
  </si>
  <si>
    <t>Dani zajmovi tuzemnim trg.društvima izvan javnog sektora</t>
  </si>
  <si>
    <t>Dani zajmovi tuzemnim obrtnicima</t>
  </si>
  <si>
    <t>JAMSTVA ZA MALO GOSPODARSTVO</t>
  </si>
  <si>
    <t xml:space="preserve">Kapitalne pomoći kreditnim i ostalim institucijama te trg.društvima izvan javnog sektora </t>
  </si>
  <si>
    <t>Kapitalne pomoći poljoprivrednicima i obrtnicima</t>
  </si>
  <si>
    <t>POTPORE INOVACIJSKOM PROCESU</t>
  </si>
  <si>
    <t>0150</t>
  </si>
  <si>
    <t>BICRO BIOCENTAR</t>
  </si>
  <si>
    <t>Subvencije trg. društvima u javnom sektoru</t>
  </si>
  <si>
    <t>Subvencije trgovačkim društvima U javnom sektoru</t>
  </si>
  <si>
    <t xml:space="preserve">Tekuće donacije  </t>
  </si>
  <si>
    <t>EUROPSKA PODUZETNIČKA MREŽA</t>
  </si>
  <si>
    <t>EUROPSKI PROJEKTI</t>
  </si>
  <si>
    <t xml:space="preserve"> Ostale naknade građanima i kućanstvima</t>
  </si>
  <si>
    <t>OP KONKURENTNOST I KOHEZIJA 2014.-2020. -PT2</t>
  </si>
  <si>
    <t>Službena, radna i zaštitna odjeća</t>
  </si>
  <si>
    <t>Članarine i norme</t>
  </si>
  <si>
    <t xml:space="preserve">Prijevozna sredstva </t>
  </si>
  <si>
    <t>Prijevozna sredstva u cestovnom prijevozu</t>
  </si>
  <si>
    <t xml:space="preserve">Nematerijalna proizvedena imovina </t>
  </si>
  <si>
    <t>533</t>
  </si>
  <si>
    <t>Dionice i udjeli u glavnici kred. I ostalih finan.institucija</t>
  </si>
  <si>
    <t>5332</t>
  </si>
  <si>
    <t>MREŽA PODUZETNIČKIH I POTPORNIH INSTITUCIJA - BSO</t>
  </si>
  <si>
    <t>PROJEKT PODUZETNIČKOG KAPITALA ZA INOVACIJE I PODUZETNIŠTVO</t>
  </si>
  <si>
    <t>NAKNADE ZA UPRAVLJANJE FINAN.INSTRUMENTIMA IZ ESI FONDOVA 2014. - 2020.</t>
  </si>
  <si>
    <t>Subvencije trg.društvima izvan javnog sektora</t>
  </si>
  <si>
    <t>04995</t>
  </si>
  <si>
    <t>IZVOR 559-OSTALE REFUNDACIJE IZ POMOĆI EU</t>
  </si>
  <si>
    <t>IZVOR 561-EUROSKI SOCIJALNI FOND</t>
  </si>
  <si>
    <t>PROJEKT PROSAFE - MS TYR 15</t>
  </si>
  <si>
    <t>A817077</t>
  </si>
  <si>
    <t xml:space="preserve">ukupno po izvorima </t>
  </si>
  <si>
    <t>3228 JAČANJE KONKURENTNOSTI MALOG I SREDNJEG PODUZETNIŠTVA</t>
  </si>
  <si>
    <t>Poslovni objekti</t>
  </si>
  <si>
    <t>04990</t>
  </si>
  <si>
    <t>HAMAG-BICRO</t>
  </si>
  <si>
    <t>A913001</t>
  </si>
  <si>
    <t>K913002</t>
  </si>
  <si>
    <t>A913003</t>
  </si>
  <si>
    <t>A913004</t>
  </si>
  <si>
    <t>A913007</t>
  </si>
  <si>
    <t>A913008</t>
  </si>
  <si>
    <t>A913009</t>
  </si>
  <si>
    <t>PROGRAMI EUREKA I EUROSTARS</t>
  </si>
  <si>
    <t>A913010</t>
  </si>
  <si>
    <t>A913011</t>
  </si>
  <si>
    <t>A913012</t>
  </si>
  <si>
    <t>A913013</t>
  </si>
  <si>
    <t>Donos</t>
  </si>
  <si>
    <t>MINISTARSTVO GOSPODARSTVA,</t>
  </si>
  <si>
    <t xml:space="preserve"> PODUZETNIŠTVA I OBRTA</t>
  </si>
  <si>
    <t>PRIJEDLOG FINANCIJSKOG PLANA</t>
  </si>
  <si>
    <t>ZA RAZDOBLJE 2017. - 2019.</t>
  </si>
  <si>
    <t>Prijedlog plana       2017.</t>
  </si>
  <si>
    <t>Prijedlog plana       2018.</t>
  </si>
  <si>
    <t>Prijedlog plana       2019.</t>
  </si>
  <si>
    <t>Ministarstvo gospodarstva, poduzetništva i obrta</t>
  </si>
  <si>
    <t>LIMIT MF</t>
  </si>
  <si>
    <t>K817087</t>
  </si>
  <si>
    <t>A648087</t>
  </si>
  <si>
    <t>A817083</t>
  </si>
  <si>
    <t>A817080</t>
  </si>
  <si>
    <t>T817088</t>
  </si>
  <si>
    <t>A817079</t>
  </si>
  <si>
    <t>A817078</t>
  </si>
  <si>
    <t>A817082</t>
  </si>
  <si>
    <t>K648088</t>
  </si>
  <si>
    <t>A914001</t>
  </si>
  <si>
    <t>PROMOCIJA I JAČANJE ZADRUŽNOG PODUZETNIŠTVA</t>
  </si>
  <si>
    <t>STRATEGIJA GOSPODARENJA MINERALNIM SIROVINAMA RH</t>
  </si>
  <si>
    <t>A822059</t>
  </si>
  <si>
    <t>RAZVOJ I ODRŽAVANJE OBRTNOG REGISTRA</t>
  </si>
  <si>
    <t>Tekuće pomoći unutar opće države</t>
  </si>
  <si>
    <t>Pomoći unutar općeg proračuna</t>
  </si>
  <si>
    <t xml:space="preserve">Ostale nespomenute usluge </t>
  </si>
  <si>
    <t>Naknade osobama izvan radnog odnosa</t>
  </si>
  <si>
    <t>Ugovorne kazne i ostale naknade šteta</t>
  </si>
  <si>
    <t>Naknada za rad pred. I izvršnih tijela, povjerenstava i sl.</t>
  </si>
  <si>
    <t>0484</t>
  </si>
  <si>
    <t>Ministarstvo gospodarstva,  poduzetništva i obrta</t>
  </si>
  <si>
    <t>UKUPNO MINISTARSTVO GOSPODARSTVA,
 PODUZETNIŠTVA I OBRTA</t>
  </si>
  <si>
    <t>Materijalna imovina - prirodna bogatstva</t>
  </si>
  <si>
    <t>Zemljište</t>
  </si>
  <si>
    <t>Izdaci za depozite i jamčevne pologe</t>
  </si>
  <si>
    <t>Izdaci za depozite u tuzemnim kreditnim i ostalim financijskim institucijam</t>
  </si>
  <si>
    <t xml:space="preserve"> 323</t>
  </si>
  <si>
    <t>JAVNI DUG izvor 11</t>
  </si>
  <si>
    <t>JAVNI DUG izvor 12</t>
  </si>
  <si>
    <t>JAVNI DUG izvor 81</t>
  </si>
  <si>
    <t>JAVNI DUG izvor 563</t>
  </si>
  <si>
    <t>IZVOR 81-NAMJENSKI PRIMICI OD ZADUŽIVANJA</t>
  </si>
  <si>
    <t>PLAN  U LIMITU</t>
  </si>
  <si>
    <t xml:space="preserve">PRIJEDLOG FINANCIJSKOG PLANA ZA 2017.-2019. </t>
  </si>
  <si>
    <t>Materijal i dijelovi za tekuće i investicijsko održavanje</t>
  </si>
  <si>
    <t>ukupno po programima</t>
  </si>
  <si>
    <t>Ostale naknade građanima i kućanstvima iz proračuna</t>
  </si>
  <si>
    <t>Kazne, penali i naknade šteta</t>
  </si>
  <si>
    <t>Naknade za rad članovima predstavničkih izvršnih tijela i upr.vijeća</t>
  </si>
  <si>
    <t>Subvencije trgovačkim društvima i zadrugama izvan javnog sektora</t>
  </si>
  <si>
    <t>Subvencije trgovačkim društvima, zadrugama poljoprivrednicima i obrtnicima izvan javnog sektora</t>
  </si>
  <si>
    <t>Kapitalne pomoći kreditnim i ost.fin.institucijamate  trgovačkim društvima i zadrugama izvan javnog sektora</t>
  </si>
  <si>
    <t>Dionice i udjeli u glavnici kreditnih i ostalih fin.institucija u javnom sektoru</t>
  </si>
  <si>
    <t>Dionice i udjeli u glavnici ostalih fin.institucija u javnom sektoru</t>
  </si>
  <si>
    <t>limit od MF</t>
  </si>
  <si>
    <t>41</t>
  </si>
  <si>
    <t>OP UČINKOVITI LJUDSKI POTENCIJALI 2014-2020</t>
  </si>
  <si>
    <t>A817089</t>
  </si>
  <si>
    <t>MEĐUNARODNE AKTIVNOSTI ZA RAZVOJ I PROMOCIJU PODUZETNIŠTVA</t>
  </si>
  <si>
    <t>UNAPREĐENJE POSLOVNE KLIME</t>
  </si>
  <si>
    <t>Kapitalne pomoći iz EU sredstava</t>
  </si>
  <si>
    <t xml:space="preserve">Kapitalne pomoći subjektima izvan javnim sektoru iz EU sredstava </t>
  </si>
  <si>
    <t>Subvencije trgovačkim društvima, zadrugama poljoprivrednicima i obrtnicima iiz EU sredstava</t>
  </si>
  <si>
    <t>Subvencije trgovačkim društvima,zadrugama, poljoprivrednicima i obrtnicima iz EU sredstva</t>
  </si>
  <si>
    <t>Kapitalne pomoć iz EU sredstava</t>
  </si>
  <si>
    <t>A913006</t>
  </si>
  <si>
    <t>353</t>
  </si>
  <si>
    <t>Subvencije trg.društvima, zadrugama, poljoprivrednicima i obrtnicima iz EU sredstava</t>
  </si>
  <si>
    <t>3531</t>
  </si>
  <si>
    <t xml:space="preserve">IZVOR 41-PRIHODI OD IGARA NA SREĆU </t>
  </si>
  <si>
    <t>OP KONKURENTNOST I KOHEZIJA - MALI I MIKRO ZAJMOVI</t>
  </si>
  <si>
    <t>A822089</t>
  </si>
  <si>
    <t>Zagreb, 6. prosinca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</si>
</sst>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&quot;- &quot;@"/>
    <numFmt numFmtId="165" formatCode="dd/mm/yy/;@"/>
    <numFmt numFmtId="166" formatCode="h:mm:ss;@"/>
  </numFmts>
  <fonts count="48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</font>
    <font>
      <sz val="9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/>
      </left>
      <right style="thin">
        <color indexed="18"/>
      </right>
      <top style="thin">
        <color theme="3"/>
      </top>
      <bottom style="thin">
        <color theme="3"/>
      </bottom>
      <diagonal/>
    </border>
    <border>
      <left style="thin">
        <color indexed="18"/>
      </left>
      <right style="thin">
        <color indexed="18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</borders>
  <cellStyleXfs count="66">
    <xf numFmtId="0" fontId="0" fillId="0" borderId="0"/>
    <xf numFmtId="0" fontId="1" fillId="2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9" borderId="0" applyNumberFormat="0" applyBorder="0" applyAlignment="0" applyProtection="0"/>
    <xf numFmtId="0" fontId="9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4" fontId="2" fillId="28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2" fillId="29" borderId="1" applyNumberFormat="0" applyProtection="0">
      <alignment horizontal="left" vertical="center" indent="1" justifyLastLine="1"/>
    </xf>
    <xf numFmtId="0" fontId="6" fillId="28" borderId="2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 justifyLastLine="1"/>
    </xf>
    <xf numFmtId="4" fontId="2" fillId="31" borderId="1" applyNumberFormat="0" applyProtection="0">
      <alignment horizontal="right" vertical="center"/>
    </xf>
    <xf numFmtId="4" fontId="2" fillId="32" borderId="1" applyNumberFormat="0" applyProtection="0">
      <alignment horizontal="right" vertical="center"/>
    </xf>
    <xf numFmtId="4" fontId="2" fillId="33" borderId="3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4" borderId="1" applyNumberFormat="0" applyProtection="0">
      <alignment horizontal="right" vertical="center"/>
    </xf>
    <xf numFmtId="4" fontId="2" fillId="36" borderId="1" applyNumberFormat="0" applyProtection="0">
      <alignment horizontal="right" vertical="center"/>
    </xf>
    <xf numFmtId="4" fontId="2" fillId="37" borderId="3" applyNumberFormat="0" applyProtection="0">
      <alignment horizontal="left" vertical="center" indent="1" justifyLastLine="1"/>
    </xf>
    <xf numFmtId="4" fontId="5" fillId="8" borderId="3" applyNumberFormat="0" applyProtection="0">
      <alignment horizontal="left" vertical="center" indent="1" justifyLastLine="1"/>
    </xf>
    <xf numFmtId="4" fontId="5" fillId="8" borderId="3" applyNumberFormat="0" applyProtection="0">
      <alignment horizontal="left" vertical="center" indent="1" justifyLastLine="1"/>
    </xf>
    <xf numFmtId="4" fontId="2" fillId="3" borderId="1" applyNumberFormat="0" applyProtection="0">
      <alignment horizontal="right" vertical="center"/>
    </xf>
    <xf numFmtId="4" fontId="2" fillId="5" borderId="3" applyNumberFormat="0" applyProtection="0">
      <alignment horizontal="left" vertical="center" indent="1" justifyLastLine="1"/>
    </xf>
    <xf numFmtId="4" fontId="2" fillId="3" borderId="3" applyNumberFormat="0" applyProtection="0">
      <alignment horizontal="left" vertical="center" indent="1" justifyLastLine="1"/>
    </xf>
    <xf numFmtId="0" fontId="2" fillId="6" borderId="1" applyNumberFormat="0" applyProtection="0">
      <alignment horizontal="left" vertical="center" indent="1" justifyLastLine="1"/>
    </xf>
    <xf numFmtId="0" fontId="2" fillId="8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 justifyLastLine="1"/>
    </xf>
    <xf numFmtId="0" fontId="2" fillId="3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 justifyLastLine="1"/>
    </xf>
    <xf numFmtId="0" fontId="2" fillId="39" borderId="2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 justifyLastLine="1"/>
    </xf>
    <xf numFmtId="0" fontId="2" fillId="5" borderId="2" applyNumberFormat="0" applyProtection="0">
      <alignment horizontal="left" vertical="top" indent="1"/>
    </xf>
    <xf numFmtId="0" fontId="2" fillId="40" borderId="4" applyNumberFormat="0">
      <protection locked="0"/>
    </xf>
    <xf numFmtId="0" fontId="3" fillId="8" borderId="5" applyBorder="0"/>
    <xf numFmtId="4" fontId="4" fillId="41" borderId="2" applyNumberFormat="0" applyProtection="0">
      <alignment vertical="center"/>
    </xf>
    <xf numFmtId="4" fontId="14" fillId="0" borderId="6" applyNumberFormat="0" applyProtection="0">
      <alignment vertical="center"/>
    </xf>
    <xf numFmtId="4" fontId="4" fillId="6" borderId="2" applyNumberFormat="0" applyProtection="0">
      <alignment horizontal="left" vertical="center" indent="1"/>
    </xf>
    <xf numFmtId="0" fontId="4" fillId="41" borderId="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3" fillId="42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 justifyLastLine="1"/>
    </xf>
    <xf numFmtId="0" fontId="4" fillId="3" borderId="2" applyNumberFormat="0" applyProtection="0">
      <alignment horizontal="left" vertical="top" indent="1"/>
    </xf>
    <xf numFmtId="4" fontId="7" fillId="43" borderId="3" applyNumberFormat="0" applyProtection="0">
      <alignment horizontal="left" vertical="center" indent="1" justifyLastLine="1"/>
    </xf>
    <xf numFmtId="0" fontId="14" fillId="0" borderId="6"/>
    <xf numFmtId="4" fontId="8" fillId="40" borderId="1" applyNumberFormat="0" applyProtection="0">
      <alignment horizontal="right" vertical="center"/>
    </xf>
    <xf numFmtId="0" fontId="12" fillId="0" borderId="0" applyNumberFormat="0" applyFill="0" applyBorder="0" applyAlignment="0" applyProtection="0"/>
    <xf numFmtId="43" fontId="43" fillId="0" borderId="0" applyFont="0" applyFill="0" applyBorder="0" applyAlignment="0" applyProtection="0"/>
  </cellStyleXfs>
  <cellXfs count="625">
    <xf numFmtId="0" fontId="0" fillId="0" borderId="0" xfId="0"/>
    <xf numFmtId="4" fontId="15" fillId="0" borderId="1" xfId="23" applyNumberFormat="1" applyFont="1" applyFill="1">
      <alignment vertical="center"/>
    </xf>
    <xf numFmtId="0" fontId="2" fillId="0" borderId="1" xfId="49" quotePrefix="1" applyFill="1">
      <alignment horizontal="left" vertical="center" indent="1" justifyLastLine="1"/>
    </xf>
    <xf numFmtId="4" fontId="2" fillId="0" borderId="1" xfId="57" applyNumberFormat="1" applyFill="1">
      <alignment horizontal="right" vertical="center"/>
    </xf>
    <xf numFmtId="49" fontId="2" fillId="0" borderId="1" xfId="23" applyNumberFormat="1" applyFill="1" applyAlignment="1">
      <alignment horizontal="center" vertical="center"/>
    </xf>
    <xf numFmtId="49" fontId="15" fillId="0" borderId="1" xfId="23" applyNumberFormat="1" applyFont="1" applyFill="1" applyAlignment="1">
      <alignment horizontal="center" vertical="center"/>
    </xf>
    <xf numFmtId="0" fontId="15" fillId="0" borderId="1" xfId="49" quotePrefix="1" applyFont="1" applyFill="1">
      <alignment horizontal="left" vertical="center" indent="1" justifyLastLine="1"/>
    </xf>
    <xf numFmtId="0" fontId="2" fillId="0" borderId="1" xfId="49" quotePrefix="1" applyFont="1" applyFill="1">
      <alignment horizontal="left" vertical="center" indent="1" justifyLastLine="1"/>
    </xf>
    <xf numFmtId="4" fontId="2" fillId="0" borderId="1" xfId="57" applyNumberFormat="1" applyFont="1" applyFill="1">
      <alignment horizontal="right" vertical="center"/>
    </xf>
    <xf numFmtId="49" fontId="2" fillId="0" borderId="1" xfId="23" applyNumberFormat="1" applyFont="1" applyFill="1" applyAlignment="1">
      <alignment horizontal="center" vertical="center"/>
    </xf>
    <xf numFmtId="49" fontId="2" fillId="0" borderId="1" xfId="57" applyNumberFormat="1" applyFont="1" applyFill="1" applyAlignment="1">
      <alignment horizontal="center" vertical="center"/>
    </xf>
    <xf numFmtId="0" fontId="15" fillId="44" borderId="1" xfId="47" quotePrefix="1" applyFont="1" applyFill="1">
      <alignment horizontal="left" vertical="center" indent="1" justifyLastLine="1"/>
    </xf>
    <xf numFmtId="4" fontId="15" fillId="44" borderId="1" xfId="23" applyNumberFormat="1" applyFont="1" applyFill="1">
      <alignment vertical="center"/>
    </xf>
    <xf numFmtId="49" fontId="15" fillId="44" borderId="1" xfId="23" applyNumberFormat="1" applyFont="1" applyFill="1" applyAlignment="1">
      <alignment horizontal="center" vertical="center"/>
    </xf>
    <xf numFmtId="0" fontId="2" fillId="0" borderId="10" xfId="49" quotePrefix="1" applyFill="1" applyBorder="1">
      <alignment horizontal="left" vertical="center" indent="1" justifyLastLine="1"/>
    </xf>
    <xf numFmtId="4" fontId="2" fillId="0" borderId="10" xfId="57" applyNumberFormat="1" applyFill="1" applyBorder="1">
      <alignment horizontal="right" vertical="center"/>
    </xf>
    <xf numFmtId="0" fontId="2" fillId="0" borderId="10" xfId="49" quotePrefix="1" applyFont="1" applyFill="1" applyBorder="1">
      <alignment horizontal="left" vertical="center" indent="1" justifyLastLine="1"/>
    </xf>
    <xf numFmtId="49" fontId="2" fillId="0" borderId="10" xfId="57" applyNumberFormat="1" applyFont="1" applyFill="1" applyBorder="1" applyAlignment="1">
      <alignment horizontal="center" vertical="center"/>
    </xf>
    <xf numFmtId="0" fontId="15" fillId="0" borderId="1" xfId="49" applyFont="1" applyFill="1">
      <alignment horizontal="left" vertical="center" indent="1" justifyLastLine="1"/>
    </xf>
    <xf numFmtId="49" fontId="15" fillId="0" borderId="16" xfId="23" applyNumberFormat="1" applyFont="1" applyFill="1" applyBorder="1" applyAlignment="1">
      <alignment horizontal="center" vertical="center"/>
    </xf>
    <xf numFmtId="0" fontId="15" fillId="0" borderId="16" xfId="49" quotePrefix="1" applyFont="1" applyFill="1" applyBorder="1">
      <alignment horizontal="left" vertical="center" indent="1" justifyLastLine="1"/>
    </xf>
    <xf numFmtId="0" fontId="2" fillId="0" borderId="16" xfId="49" quotePrefix="1" applyFont="1" applyFill="1" applyBorder="1">
      <alignment horizontal="left" vertical="center" indent="1" justifyLastLine="1"/>
    </xf>
    <xf numFmtId="49" fontId="2" fillId="0" borderId="16" xfId="23" applyNumberFormat="1" applyFont="1" applyFill="1" applyBorder="1" applyAlignment="1">
      <alignment horizontal="center" vertical="center"/>
    </xf>
    <xf numFmtId="3" fontId="15" fillId="0" borderId="1" xfId="23" applyNumberFormat="1" applyFont="1" applyFill="1" applyAlignment="1">
      <alignment horizontal="center" vertical="center"/>
    </xf>
    <xf numFmtId="49" fontId="16" fillId="46" borderId="19" xfId="23" applyNumberFormat="1" applyFont="1" applyFill="1" applyBorder="1" applyAlignment="1">
      <alignment horizontal="center" vertical="center"/>
    </xf>
    <xf numFmtId="4" fontId="16" fillId="46" borderId="19" xfId="23" applyNumberFormat="1" applyFont="1" applyFill="1" applyBorder="1">
      <alignment vertical="center"/>
    </xf>
    <xf numFmtId="4" fontId="0" fillId="0" borderId="0" xfId="0" applyNumberFormat="1"/>
    <xf numFmtId="0" fontId="15" fillId="44" borderId="16" xfId="47" quotePrefix="1" applyFont="1" applyFill="1" applyBorder="1">
      <alignment horizontal="left" vertical="center" indent="1" justifyLastLine="1"/>
    </xf>
    <xf numFmtId="49" fontId="15" fillId="44" borderId="16" xfId="23" applyNumberFormat="1" applyFont="1" applyFill="1" applyBorder="1" applyAlignment="1">
      <alignment horizontal="center" vertical="center"/>
    </xf>
    <xf numFmtId="4" fontId="19" fillId="44" borderId="15" xfId="0" applyNumberFormat="1" applyFont="1" applyFill="1" applyBorder="1"/>
    <xf numFmtId="0" fontId="15" fillId="44" borderId="1" xfId="47" applyFont="1" applyFill="1">
      <alignment horizontal="left" vertical="center" indent="1" justifyLastLine="1"/>
    </xf>
    <xf numFmtId="3" fontId="15" fillId="44" borderId="1" xfId="23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4" fontId="22" fillId="47" borderId="19" xfId="23" applyNumberFormat="1" applyFont="1" applyFill="1" applyBorder="1">
      <alignment vertical="center"/>
    </xf>
    <xf numFmtId="49" fontId="22" fillId="47" borderId="19" xfId="23" applyNumberFormat="1" applyFont="1" applyFill="1" applyBorder="1" applyAlignment="1">
      <alignment horizontal="center" vertical="center"/>
    </xf>
    <xf numFmtId="0" fontId="2" fillId="0" borderId="25" xfId="49" applyFill="1" applyBorder="1">
      <alignment horizontal="left" vertical="center" indent="1" justifyLastLine="1"/>
    </xf>
    <xf numFmtId="0" fontId="15" fillId="0" borderId="7" xfId="49" quotePrefix="1" applyFont="1" applyFill="1" applyBorder="1">
      <alignment horizontal="left" vertical="center" indent="1" justifyLastLine="1"/>
    </xf>
    <xf numFmtId="49" fontId="15" fillId="0" borderId="7" xfId="23" applyNumberFormat="1" applyFont="1" applyFill="1" applyBorder="1" applyAlignment="1">
      <alignment horizontal="center" vertical="center"/>
    </xf>
    <xf numFmtId="0" fontId="15" fillId="44" borderId="20" xfId="47" quotePrefix="1" applyFont="1" applyFill="1" applyBorder="1">
      <alignment horizontal="left" vertical="center" indent="1" justifyLastLine="1"/>
    </xf>
    <xf numFmtId="49" fontId="15" fillId="44" borderId="20" xfId="23" applyNumberFormat="1" applyFont="1" applyFill="1" applyBorder="1" applyAlignment="1">
      <alignment horizontal="center" vertical="center"/>
    </xf>
    <xf numFmtId="0" fontId="24" fillId="0" borderId="0" xfId="0" applyFont="1"/>
    <xf numFmtId="3" fontId="16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1" fillId="0" borderId="0" xfId="0" applyNumberFormat="1" applyFont="1"/>
    <xf numFmtId="0" fontId="0" fillId="0" borderId="0" xfId="0"/>
    <xf numFmtId="164" fontId="15" fillId="0" borderId="19" xfId="49" quotePrefix="1" applyNumberFormat="1" applyFont="1" applyFill="1" applyBorder="1" applyAlignment="1">
      <alignment horizontal="center" vertical="center" justifyLastLine="1"/>
    </xf>
    <xf numFmtId="0" fontId="15" fillId="0" borderId="19" xfId="49" quotePrefix="1" applyFont="1" applyFill="1" applyBorder="1">
      <alignment horizontal="left" vertical="center" indent="1" justifyLastLine="1"/>
    </xf>
    <xf numFmtId="49" fontId="15" fillId="0" borderId="19" xfId="23" applyNumberFormat="1" applyFont="1" applyFill="1" applyBorder="1" applyAlignment="1">
      <alignment horizontal="center" vertical="center"/>
    </xf>
    <xf numFmtId="4" fontId="15" fillId="0" borderId="19" xfId="23" applyNumberFormat="1" applyFont="1" applyFill="1" applyBorder="1">
      <alignment vertical="center"/>
    </xf>
    <xf numFmtId="49" fontId="1" fillId="0" borderId="19" xfId="23" applyNumberFormat="1" applyFont="1" applyFill="1" applyBorder="1" applyAlignment="1">
      <alignment horizontal="center" vertical="center"/>
    </xf>
    <xf numFmtId="4" fontId="1" fillId="0" borderId="19" xfId="23" applyNumberFormat="1" applyFont="1" applyFill="1" applyBorder="1">
      <alignment vertical="center"/>
    </xf>
    <xf numFmtId="0" fontId="2" fillId="0" borderId="10" xfId="49" quotePrefix="1" applyFill="1" applyBorder="1" applyAlignment="1">
      <alignment horizontal="center" vertical="center" justifyLastLine="1"/>
    </xf>
    <xf numFmtId="4" fontId="1" fillId="0" borderId="10" xfId="57" applyNumberFormat="1" applyFont="1" applyFill="1" applyBorder="1">
      <alignment horizontal="right" vertical="center"/>
    </xf>
    <xf numFmtId="0" fontId="15" fillId="0" borderId="10" xfId="49" quotePrefix="1" applyFont="1" applyFill="1" applyBorder="1" applyAlignment="1">
      <alignment horizontal="center" vertical="center" justifyLastLine="1"/>
    </xf>
    <xf numFmtId="0" fontId="15" fillId="0" borderId="10" xfId="49" quotePrefix="1" applyFont="1" applyFill="1" applyBorder="1">
      <alignment horizontal="left" vertical="center" indent="1" justifyLastLine="1"/>
    </xf>
    <xf numFmtId="49" fontId="15" fillId="0" borderId="19" xfId="57" applyNumberFormat="1" applyFont="1" applyBorder="1" applyAlignment="1">
      <alignment horizontal="center" vertical="center"/>
    </xf>
    <xf numFmtId="4" fontId="15" fillId="0" borderId="10" xfId="57" applyNumberFormat="1" applyFont="1" applyFill="1" applyBorder="1">
      <alignment horizontal="right" vertical="center"/>
    </xf>
    <xf numFmtId="3" fontId="15" fillId="0" borderId="10" xfId="57" applyNumberFormat="1" applyFont="1" applyFill="1" applyBorder="1" applyAlignment="1">
      <alignment horizontal="center" vertical="center"/>
    </xf>
    <xf numFmtId="164" fontId="15" fillId="45" borderId="19" xfId="49" quotePrefix="1" applyNumberFormat="1" applyFont="1" applyFill="1" applyBorder="1" applyAlignment="1">
      <alignment horizontal="center" vertical="center" justifyLastLine="1"/>
    </xf>
    <xf numFmtId="0" fontId="15" fillId="45" borderId="19" xfId="49" quotePrefix="1" applyFont="1" applyFill="1" applyBorder="1">
      <alignment horizontal="left" vertical="center" indent="1" justifyLastLine="1"/>
    </xf>
    <xf numFmtId="49" fontId="15" fillId="45" borderId="19" xfId="23" applyNumberFormat="1" applyFont="1" applyFill="1" applyBorder="1" applyAlignment="1">
      <alignment horizontal="center" vertical="center"/>
    </xf>
    <xf numFmtId="4" fontId="15" fillId="45" borderId="19" xfId="23" applyNumberFormat="1" applyFont="1" applyFill="1" applyBorder="1">
      <alignment vertical="center"/>
    </xf>
    <xf numFmtId="0" fontId="1" fillId="0" borderId="19" xfId="49" quotePrefix="1" applyFont="1" applyFill="1" applyBorder="1" applyAlignment="1">
      <alignment horizontal="center" vertical="center" justifyLastLine="1"/>
    </xf>
    <xf numFmtId="4" fontId="1" fillId="45" borderId="19" xfId="57" applyNumberFormat="1" applyFont="1" applyFill="1" applyBorder="1">
      <alignment horizontal="right" vertical="center"/>
    </xf>
    <xf numFmtId="4" fontId="1" fillId="0" borderId="19" xfId="57" applyNumberFormat="1" applyFont="1" applyFill="1" applyBorder="1">
      <alignment horizontal="right" vertical="center"/>
    </xf>
    <xf numFmtId="0" fontId="1" fillId="45" borderId="19" xfId="49" quotePrefix="1" applyFont="1" applyFill="1" applyBorder="1" applyAlignment="1">
      <alignment horizontal="center" vertical="center" justifyLastLine="1"/>
    </xf>
    <xf numFmtId="0" fontId="0" fillId="0" borderId="0" xfId="0" applyAlignment="1">
      <alignment horizontal="center"/>
    </xf>
    <xf numFmtId="164" fontId="15" fillId="44" borderId="1" xfId="47" quotePrefix="1" applyNumberFormat="1" applyFont="1" applyFill="1" applyAlignment="1">
      <alignment horizontal="center" vertical="center" justifyLastLine="1"/>
    </xf>
    <xf numFmtId="164" fontId="15" fillId="0" borderId="1" xfId="49" quotePrefix="1" applyNumberFormat="1" applyFont="1" applyFill="1" applyAlignment="1">
      <alignment horizontal="center" vertical="center" justifyLastLine="1"/>
    </xf>
    <xf numFmtId="0" fontId="2" fillId="0" borderId="1" xfId="49" quotePrefix="1" applyFont="1" applyFill="1" applyAlignment="1">
      <alignment horizontal="center" vertical="center" justifyLastLine="1"/>
    </xf>
    <xf numFmtId="0" fontId="2" fillId="0" borderId="10" xfId="49" quotePrefix="1" applyFont="1" applyFill="1" applyBorder="1" applyAlignment="1">
      <alignment horizontal="center" vertical="center" justifyLastLine="1"/>
    </xf>
    <xf numFmtId="164" fontId="15" fillId="44" borderId="20" xfId="47" quotePrefix="1" applyNumberFormat="1" applyFont="1" applyFill="1" applyBorder="1" applyAlignment="1">
      <alignment horizontal="center" vertical="center" justifyLastLine="1"/>
    </xf>
    <xf numFmtId="164" fontId="15" fillId="0" borderId="7" xfId="49" quotePrefix="1" applyNumberFormat="1" applyFont="1" applyFill="1" applyBorder="1" applyAlignment="1">
      <alignment horizontal="center" vertical="center" justifyLastLine="1"/>
    </xf>
    <xf numFmtId="164" fontId="15" fillId="44" borderId="16" xfId="47" quotePrefix="1" applyNumberFormat="1" applyFont="1" applyFill="1" applyBorder="1" applyAlignment="1">
      <alignment horizontal="center" vertical="center" justifyLastLine="1"/>
    </xf>
    <xf numFmtId="164" fontId="15" fillId="0" borderId="16" xfId="49" quotePrefix="1" applyNumberFormat="1" applyFont="1" applyFill="1" applyBorder="1" applyAlignment="1">
      <alignment horizontal="center" vertical="center" justifyLastLine="1"/>
    </xf>
    <xf numFmtId="0" fontId="2" fillId="0" borderId="16" xfId="49" quotePrefix="1" applyFont="1" applyFill="1" applyBorder="1" applyAlignment="1">
      <alignment horizontal="center" vertical="center" justifyLastLine="1"/>
    </xf>
    <xf numFmtId="0" fontId="2" fillId="0" borderId="1" xfId="49" quotePrefix="1" applyFill="1" applyAlignment="1">
      <alignment horizontal="center" vertical="center" justifyLastLine="1"/>
    </xf>
    <xf numFmtId="2" fontId="21" fillId="0" borderId="22" xfId="0" applyNumberFormat="1" applyFont="1" applyBorder="1" applyAlignment="1">
      <alignment vertical="center" wrapText="1"/>
    </xf>
    <xf numFmtId="164" fontId="16" fillId="48" borderId="30" xfId="45" quotePrefix="1" applyNumberFormat="1" applyFont="1" applyFill="1" applyBorder="1" applyAlignment="1">
      <alignment vertical="center" justifyLastLine="1"/>
    </xf>
    <xf numFmtId="0" fontId="16" fillId="48" borderId="31" xfId="45" quotePrefix="1" applyFont="1" applyFill="1" applyBorder="1" applyAlignment="1">
      <alignment vertical="center" justifyLastLine="1"/>
    </xf>
    <xf numFmtId="0" fontId="16" fillId="48" borderId="8" xfId="27" quotePrefix="1" applyNumberFormat="1" applyFont="1" applyFill="1" applyBorder="1" applyAlignment="1">
      <alignment horizontal="center" vertical="center" wrapText="1"/>
    </xf>
    <xf numFmtId="4" fontId="16" fillId="48" borderId="19" xfId="23" applyNumberFormat="1" applyFont="1" applyFill="1" applyBorder="1">
      <alignment vertical="center"/>
    </xf>
    <xf numFmtId="4" fontId="18" fillId="48" borderId="19" xfId="23" applyNumberFormat="1" applyFont="1" applyFill="1" applyBorder="1">
      <alignment vertical="center"/>
    </xf>
    <xf numFmtId="0" fontId="17" fillId="48" borderId="15" xfId="0" applyFont="1" applyFill="1" applyBorder="1" applyAlignment="1">
      <alignment horizontal="center"/>
    </xf>
    <xf numFmtId="0" fontId="17" fillId="48" borderId="15" xfId="0" applyFont="1" applyFill="1" applyBorder="1"/>
    <xf numFmtId="0" fontId="16" fillId="48" borderId="16" xfId="27" quotePrefix="1" applyNumberFormat="1" applyFont="1" applyFill="1" applyBorder="1" applyAlignment="1">
      <alignment horizontal="center" vertical="center" wrapText="1"/>
    </xf>
    <xf numFmtId="164" fontId="16" fillId="48" borderId="7" xfId="45" quotePrefix="1" applyNumberFormat="1" applyFont="1" applyFill="1" applyBorder="1" applyAlignment="1">
      <alignment horizontal="center" vertical="center" justifyLastLine="1"/>
    </xf>
    <xf numFmtId="0" fontId="16" fillId="48" borderId="7" xfId="45" quotePrefix="1" applyFont="1" applyFill="1" applyBorder="1">
      <alignment horizontal="left" vertical="center" indent="1" justifyLastLine="1"/>
    </xf>
    <xf numFmtId="49" fontId="16" fillId="48" borderId="1" xfId="23" applyNumberFormat="1" applyFont="1" applyFill="1" applyAlignment="1">
      <alignment horizontal="center" vertical="center"/>
    </xf>
    <xf numFmtId="4" fontId="16" fillId="48" borderId="1" xfId="23" applyNumberFormat="1" applyFont="1" applyFill="1">
      <alignment vertical="center"/>
    </xf>
    <xf numFmtId="0" fontId="16" fillId="48" borderId="7" xfId="45" quotePrefix="1" applyFont="1" applyFill="1" applyBorder="1" applyAlignment="1">
      <alignment horizontal="left" vertical="center" wrapText="1" indent="1" justifyLastLine="1"/>
    </xf>
    <xf numFmtId="0" fontId="20" fillId="48" borderId="15" xfId="0" applyFont="1" applyFill="1" applyBorder="1" applyAlignment="1">
      <alignment horizontal="center"/>
    </xf>
    <xf numFmtId="0" fontId="20" fillId="48" borderId="15" xfId="0" applyFont="1" applyFill="1" applyBorder="1"/>
    <xf numFmtId="0" fontId="16" fillId="48" borderId="15" xfId="27" quotePrefix="1" applyNumberFormat="1" applyFont="1" applyFill="1" applyBorder="1" applyAlignment="1">
      <alignment horizontal="center" vertical="center" wrapText="1"/>
    </xf>
    <xf numFmtId="3" fontId="16" fillId="46" borderId="19" xfId="23" applyNumberFormat="1" applyFont="1" applyFill="1" applyBorder="1" applyAlignment="1">
      <alignment horizontal="center" vertical="center"/>
    </xf>
    <xf numFmtId="0" fontId="1" fillId="0" borderId="19" xfId="49" quotePrefix="1" applyNumberFormat="1" applyFont="1" applyFill="1" applyBorder="1" applyAlignment="1">
      <alignment horizontal="center" vertical="center" justifyLastLine="1"/>
    </xf>
    <xf numFmtId="0" fontId="1" fillId="0" borderId="19" xfId="49" quotePrefix="1" applyFont="1" applyFill="1" applyBorder="1">
      <alignment horizontal="left" vertical="center" indent="1" justifyLastLine="1"/>
    </xf>
    <xf numFmtId="0" fontId="28" fillId="0" borderId="0" xfId="0" applyFont="1" applyAlignment="1">
      <alignment horizontal="right"/>
    </xf>
    <xf numFmtId="3" fontId="29" fillId="0" borderId="0" xfId="0" applyNumberFormat="1" applyFont="1" applyBorder="1" applyAlignment="1">
      <alignment vertical="center"/>
    </xf>
    <xf numFmtId="3" fontId="0" fillId="0" borderId="0" xfId="0" applyNumberFormat="1"/>
    <xf numFmtId="0" fontId="0" fillId="50" borderId="0" xfId="0" applyFill="1"/>
    <xf numFmtId="49" fontId="2" fillId="0" borderId="10" xfId="23" applyNumberFormat="1" applyFill="1" applyBorder="1" applyAlignment="1">
      <alignment horizontal="center" vertical="center"/>
    </xf>
    <xf numFmtId="2" fontId="21" fillId="0" borderId="23" xfId="0" applyNumberFormat="1" applyFont="1" applyBorder="1" applyAlignment="1">
      <alignment vertical="center" wrapText="1"/>
    </xf>
    <xf numFmtId="0" fontId="15" fillId="44" borderId="34" xfId="47" quotePrefix="1" applyFont="1" applyFill="1" applyBorder="1" applyAlignment="1">
      <alignment vertical="center" justifyLastLine="1"/>
    </xf>
    <xf numFmtId="0" fontId="15" fillId="44" borderId="6" xfId="47" quotePrefix="1" applyFont="1" applyFill="1" applyBorder="1" applyAlignment="1">
      <alignment vertical="center" justifyLastLine="1"/>
    </xf>
    <xf numFmtId="0" fontId="2" fillId="45" borderId="19" xfId="47" quotePrefix="1" applyFill="1" applyBorder="1" applyAlignment="1">
      <alignment horizontal="center" vertical="center" justifyLastLine="1"/>
    </xf>
    <xf numFmtId="0" fontId="2" fillId="45" borderId="19" xfId="47" quotePrefix="1" applyFill="1" applyBorder="1" applyAlignment="1">
      <alignment horizontal="left" vertical="center" justifyLastLine="1"/>
    </xf>
    <xf numFmtId="49" fontId="2" fillId="45" borderId="19" xfId="47" applyNumberFormat="1" applyFill="1" applyBorder="1" applyAlignment="1">
      <alignment horizontal="right" vertical="center" justifyLastLine="1"/>
    </xf>
    <xf numFmtId="4" fontId="2" fillId="45" borderId="19" xfId="47" applyNumberFormat="1" applyFill="1" applyBorder="1" applyAlignment="1">
      <alignment horizontal="right" vertical="center" justifyLastLine="1"/>
    </xf>
    <xf numFmtId="49" fontId="2" fillId="45" borderId="19" xfId="47" applyNumberFormat="1" applyFill="1" applyBorder="1" applyAlignment="1">
      <alignment horizontal="center" vertical="center" justifyLastLine="1"/>
    </xf>
    <xf numFmtId="0" fontId="2" fillId="45" borderId="1" xfId="49" quotePrefix="1" applyFont="1" applyFill="1" applyAlignment="1">
      <alignment horizontal="center" vertical="center" justifyLastLine="1"/>
    </xf>
    <xf numFmtId="0" fontId="2" fillId="45" borderId="1" xfId="49" quotePrefix="1" applyFont="1" applyFill="1">
      <alignment horizontal="left" vertical="center" indent="1" justifyLastLine="1"/>
    </xf>
    <xf numFmtId="49" fontId="2" fillId="45" borderId="1" xfId="57" applyNumberFormat="1" applyFont="1" applyFill="1" applyAlignment="1">
      <alignment horizontal="center" vertical="center"/>
    </xf>
    <xf numFmtId="4" fontId="2" fillId="45" borderId="1" xfId="57" applyNumberFormat="1" applyFont="1" applyFill="1">
      <alignment horizontal="right" vertical="center"/>
    </xf>
    <xf numFmtId="164" fontId="15" fillId="45" borderId="1" xfId="49" quotePrefix="1" applyNumberFormat="1" applyFont="1" applyFill="1" applyAlignment="1">
      <alignment horizontal="center" vertical="center" justifyLastLine="1"/>
    </xf>
    <xf numFmtId="0" fontId="15" fillId="45" borderId="1" xfId="49" quotePrefix="1" applyFont="1" applyFill="1">
      <alignment horizontal="left" vertical="center" indent="1" justifyLastLine="1"/>
    </xf>
    <xf numFmtId="49" fontId="15" fillId="45" borderId="1" xfId="23" applyNumberFormat="1" applyFont="1" applyFill="1" applyAlignment="1">
      <alignment horizontal="center" vertical="center"/>
    </xf>
    <xf numFmtId="4" fontId="16" fillId="48" borderId="1" xfId="23" applyNumberFormat="1" applyFont="1" applyFill="1" applyAlignment="1">
      <alignment horizontal="right" vertical="center"/>
    </xf>
    <xf numFmtId="49" fontId="2" fillId="45" borderId="10" xfId="57" applyNumberFormat="1" applyFont="1" applyFill="1" applyBorder="1" applyAlignment="1">
      <alignment horizontal="center" vertical="center"/>
    </xf>
    <xf numFmtId="0" fontId="2" fillId="45" borderId="9" xfId="49" quotePrefix="1" applyFont="1" applyFill="1" applyBorder="1">
      <alignment horizontal="left" vertical="center" indent="1" justifyLastLine="1"/>
    </xf>
    <xf numFmtId="0" fontId="2" fillId="45" borderId="10" xfId="49" quotePrefix="1" applyFont="1" applyFill="1" applyBorder="1" applyAlignment="1">
      <alignment horizontal="center" vertical="center" justifyLastLine="1"/>
    </xf>
    <xf numFmtId="0" fontId="2" fillId="45" borderId="11" xfId="49" quotePrefix="1" applyFont="1" applyFill="1" applyBorder="1">
      <alignment horizontal="left" vertical="center" indent="1" justifyLastLine="1"/>
    </xf>
    <xf numFmtId="49" fontId="2" fillId="45" borderId="17" xfId="57" applyNumberFormat="1" applyFont="1" applyFill="1" applyBorder="1" applyAlignment="1">
      <alignment horizontal="center" vertical="center"/>
    </xf>
    <xf numFmtId="0" fontId="2" fillId="45" borderId="1" xfId="49" applyFont="1" applyFill="1">
      <alignment horizontal="left" vertical="center" indent="1" justifyLastLine="1"/>
    </xf>
    <xf numFmtId="0" fontId="2" fillId="45" borderId="10" xfId="49" applyFont="1" applyFill="1" applyBorder="1">
      <alignment horizontal="left" vertical="center" indent="1" justifyLastLine="1"/>
    </xf>
    <xf numFmtId="0" fontId="0" fillId="0" borderId="0" xfId="0" applyFill="1"/>
    <xf numFmtId="4" fontId="19" fillId="0" borderId="15" xfId="0" applyNumberFormat="1" applyFont="1" applyFill="1" applyBorder="1"/>
    <xf numFmtId="2" fontId="21" fillId="0" borderId="35" xfId="0" applyNumberFormat="1" applyFont="1" applyBorder="1" applyAlignment="1">
      <alignment vertical="center" wrapText="1"/>
    </xf>
    <xf numFmtId="4" fontId="15" fillId="44" borderId="8" xfId="23" applyNumberFormat="1" applyFont="1" applyFill="1" applyBorder="1">
      <alignment vertical="center"/>
    </xf>
    <xf numFmtId="4" fontId="15" fillId="0" borderId="8" xfId="23" applyNumberFormat="1" applyFont="1" applyFill="1" applyBorder="1">
      <alignment vertical="center"/>
    </xf>
    <xf numFmtId="4" fontId="2" fillId="0" borderId="8" xfId="57" applyNumberFormat="1" applyFont="1" applyFill="1" applyBorder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5" fillId="0" borderId="0" xfId="0" applyFont="1" applyAlignment="1">
      <alignment horizontal="left" vertical="center"/>
    </xf>
    <xf numFmtId="165" fontId="32" fillId="0" borderId="0" xfId="0" applyNumberFormat="1" applyFont="1" applyFill="1" applyAlignment="1">
      <alignment horizontal="center" vertical="center"/>
    </xf>
    <xf numFmtId="166" fontId="32" fillId="0" borderId="0" xfId="0" applyNumberFormat="1" applyFont="1" applyFill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15" fillId="0" borderId="1" xfId="49" quotePrefix="1" applyFont="1" applyFill="1" applyAlignment="1">
      <alignment horizontal="center" vertical="center" justifyLastLine="1"/>
    </xf>
    <xf numFmtId="49" fontId="15" fillId="0" borderId="1" xfId="57" applyNumberFormat="1" applyFont="1" applyFill="1" applyAlignment="1">
      <alignment horizontal="center" vertical="center"/>
    </xf>
    <xf numFmtId="3" fontId="15" fillId="0" borderId="1" xfId="57" applyNumberFormat="1" applyFont="1" applyFill="1" applyAlignment="1">
      <alignment horizontal="center" vertical="center"/>
    </xf>
    <xf numFmtId="0" fontId="4" fillId="41" borderId="36" xfId="53" quotePrefix="1" applyNumberFormat="1" applyBorder="1">
      <alignment vertical="center"/>
    </xf>
    <xf numFmtId="49" fontId="4" fillId="41" borderId="36" xfId="53" applyNumberFormat="1" applyBorder="1" applyAlignment="1">
      <alignment horizontal="center" vertical="center"/>
    </xf>
    <xf numFmtId="0" fontId="4" fillId="41" borderId="36" xfId="53" quotePrefix="1" applyNumberFormat="1" applyBorder="1" applyAlignment="1">
      <alignment horizontal="center" vertical="center"/>
    </xf>
    <xf numFmtId="0" fontId="25" fillId="0" borderId="0" xfId="0" applyFont="1" applyFill="1" applyAlignment="1">
      <alignment wrapText="1"/>
    </xf>
    <xf numFmtId="4" fontId="15" fillId="0" borderId="37" xfId="23" applyNumberFormat="1" applyFont="1" applyFill="1" applyBorder="1">
      <alignment vertical="center"/>
    </xf>
    <xf numFmtId="4" fontId="2" fillId="0" borderId="37" xfId="57" applyNumberFormat="1" applyFill="1" applyBorder="1">
      <alignment horizontal="right" vertical="center"/>
    </xf>
    <xf numFmtId="4" fontId="2" fillId="45" borderId="37" xfId="57" applyNumberFormat="1" applyFill="1" applyBorder="1">
      <alignment horizontal="right" vertical="center"/>
    </xf>
    <xf numFmtId="4" fontId="1" fillId="0" borderId="37" xfId="23" applyNumberFormat="1" applyFont="1" applyFill="1" applyBorder="1">
      <alignment vertical="center"/>
    </xf>
    <xf numFmtId="4" fontId="2" fillId="0" borderId="37" xfId="57" applyNumberFormat="1" applyFont="1" applyFill="1" applyBorder="1">
      <alignment horizontal="right" vertical="center"/>
    </xf>
    <xf numFmtId="4" fontId="3" fillId="0" borderId="37" xfId="57" applyNumberFormat="1" applyFont="1" applyFill="1" applyBorder="1">
      <alignment horizontal="right" vertical="center"/>
    </xf>
    <xf numFmtId="4" fontId="16" fillId="46" borderId="37" xfId="23" applyNumberFormat="1" applyFont="1" applyFill="1" applyBorder="1" applyAlignment="1">
      <alignment horizontal="right" vertical="center"/>
    </xf>
    <xf numFmtId="4" fontId="22" fillId="47" borderId="37" xfId="23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16" fillId="48" borderId="1" xfId="23" applyFont="1" applyFill="1" applyAlignment="1">
      <alignment horizontal="right" vertical="center"/>
    </xf>
    <xf numFmtId="4" fontId="16" fillId="46" borderId="37" xfId="23" applyFont="1" applyFill="1" applyBorder="1" applyAlignment="1">
      <alignment horizontal="right" vertical="center"/>
    </xf>
    <xf numFmtId="4" fontId="22" fillId="47" borderId="37" xfId="23" applyFont="1" applyFill="1" applyBorder="1" applyAlignment="1">
      <alignment horizontal="right" vertical="center"/>
    </xf>
    <xf numFmtId="4" fontId="15" fillId="44" borderId="1" xfId="23" applyFont="1" applyFill="1" applyAlignment="1">
      <alignment horizontal="right" vertical="center"/>
    </xf>
    <xf numFmtId="4" fontId="15" fillId="0" borderId="1" xfId="23" applyFont="1" applyFill="1" applyAlignment="1">
      <alignment horizontal="right" vertical="center"/>
    </xf>
    <xf numFmtId="4" fontId="2" fillId="0" borderId="1" xfId="57" applyFont="1" applyFill="1" applyAlignment="1">
      <alignment horizontal="right" vertical="center"/>
    </xf>
    <xf numFmtId="4" fontId="2" fillId="45" borderId="1" xfId="57" applyFont="1" applyFill="1" applyAlignment="1">
      <alignment horizontal="right" vertical="center"/>
    </xf>
    <xf numFmtId="4" fontId="2" fillId="45" borderId="37" xfId="47" applyNumberFormat="1" applyFill="1" applyBorder="1" applyAlignment="1">
      <alignment horizontal="right" vertical="center" justifyLastLine="1"/>
    </xf>
    <xf numFmtId="0" fontId="0" fillId="0" borderId="0" xfId="0" applyAlignment="1">
      <alignment horizontal="right"/>
    </xf>
    <xf numFmtId="4" fontId="2" fillId="0" borderId="1" xfId="23" applyFill="1" applyAlignment="1">
      <alignment horizontal="right" vertical="center"/>
    </xf>
    <xf numFmtId="4" fontId="2" fillId="0" borderId="38" xfId="23" applyFill="1" applyBorder="1" applyAlignment="1">
      <alignment horizontal="right" vertical="center"/>
    </xf>
    <xf numFmtId="4" fontId="34" fillId="0" borderId="19" xfId="57" applyNumberFormat="1" applyFont="1" applyFill="1" applyBorder="1">
      <alignment horizontal="right" vertical="center"/>
    </xf>
    <xf numFmtId="4" fontId="1" fillId="45" borderId="43" xfId="57" applyNumberFormat="1" applyFont="1" applyFill="1" applyBorder="1">
      <alignment horizontal="right" vertical="center"/>
    </xf>
    <xf numFmtId="4" fontId="15" fillId="0" borderId="9" xfId="23" applyNumberFormat="1" applyFont="1" applyFill="1" applyBorder="1">
      <alignment vertical="center"/>
    </xf>
    <xf numFmtId="49" fontId="1" fillId="0" borderId="19" xfId="57" applyNumberFormat="1" applyFont="1" applyFill="1" applyBorder="1" applyAlignment="1">
      <alignment horizontal="center" vertical="center"/>
    </xf>
    <xf numFmtId="0" fontId="1" fillId="45" borderId="19" xfId="49" quotePrefix="1" applyFont="1" applyFill="1" applyBorder="1">
      <alignment horizontal="left" vertical="center" indent="1" justifyLastLine="1"/>
    </xf>
    <xf numFmtId="49" fontId="1" fillId="45" borderId="19" xfId="57" applyNumberFormat="1" applyFont="1" applyFill="1" applyBorder="1" applyAlignment="1">
      <alignment horizontal="center" vertical="center"/>
    </xf>
    <xf numFmtId="0" fontId="1" fillId="0" borderId="25" xfId="49" applyFont="1" applyFill="1" applyBorder="1">
      <alignment horizontal="left" vertical="center" indent="1" justifyLastLine="1"/>
    </xf>
    <xf numFmtId="0" fontId="1" fillId="0" borderId="19" xfId="49" applyFont="1" applyFill="1" applyBorder="1">
      <alignment horizontal="left" vertical="center" indent="1" justifyLastLine="1"/>
    </xf>
    <xf numFmtId="49" fontId="1" fillId="0" borderId="19" xfId="57" applyNumberFormat="1" applyFont="1" applyBorder="1" applyAlignment="1">
      <alignment horizontal="center" vertical="center"/>
    </xf>
    <xf numFmtId="4" fontId="1" fillId="0" borderId="19" xfId="57" applyNumberFormat="1" applyFont="1" applyBorder="1">
      <alignment horizontal="right" vertical="center"/>
    </xf>
    <xf numFmtId="0" fontId="1" fillId="0" borderId="10" xfId="49" quotePrefix="1" applyFont="1" applyFill="1" applyBorder="1" applyAlignment="1">
      <alignment horizontal="center" vertical="center" justifyLastLine="1"/>
    </xf>
    <xf numFmtId="0" fontId="1" fillId="0" borderId="10" xfId="49" quotePrefix="1" applyFont="1" applyFill="1" applyBorder="1">
      <alignment horizontal="left" vertical="center" indent="1" justifyLastLine="1"/>
    </xf>
    <xf numFmtId="49" fontId="15" fillId="0" borderId="19" xfId="57" applyNumberFormat="1" applyFont="1" applyFill="1" applyBorder="1" applyAlignment="1">
      <alignment horizontal="center" vertical="center"/>
    </xf>
    <xf numFmtId="4" fontId="15" fillId="0" borderId="19" xfId="57" applyNumberFormat="1" applyFont="1" applyFill="1" applyBorder="1">
      <alignment horizontal="right" vertical="center"/>
    </xf>
    <xf numFmtId="4" fontId="15" fillId="0" borderId="37" xfId="57" applyNumberFormat="1" applyFont="1" applyFill="1" applyBorder="1">
      <alignment horizontal="right" vertical="center"/>
    </xf>
    <xf numFmtId="0" fontId="1" fillId="45" borderId="19" xfId="49" applyFont="1" applyFill="1" applyBorder="1">
      <alignment horizontal="left" vertical="center" indent="1" justifyLastLine="1"/>
    </xf>
    <xf numFmtId="0" fontId="37" fillId="0" borderId="0" xfId="0" applyFont="1"/>
    <xf numFmtId="0" fontId="26" fillId="0" borderId="0" xfId="0" applyFont="1" applyAlignment="1">
      <alignment horizontal="center"/>
    </xf>
    <xf numFmtId="3" fontId="21" fillId="0" borderId="0" xfId="0" applyNumberFormat="1" applyFont="1" applyBorder="1" applyAlignment="1">
      <alignment vertical="center"/>
    </xf>
    <xf numFmtId="0" fontId="15" fillId="52" borderId="37" xfId="47" quotePrefix="1" applyFont="1" applyFill="1" applyBorder="1">
      <alignment horizontal="left" vertical="center" indent="1" justifyLastLine="1"/>
    </xf>
    <xf numFmtId="49" fontId="15" fillId="52" borderId="37" xfId="23" applyNumberFormat="1" applyFont="1" applyFill="1" applyBorder="1" applyAlignment="1">
      <alignment horizontal="center" vertical="center"/>
    </xf>
    <xf numFmtId="4" fontId="15" fillId="52" borderId="37" xfId="23" applyNumberFormat="1" applyFont="1" applyFill="1" applyBorder="1">
      <alignment vertical="center"/>
    </xf>
    <xf numFmtId="164" fontId="15" fillId="0" borderId="37" xfId="49" quotePrefix="1" applyNumberFormat="1" applyFont="1" applyFill="1" applyBorder="1" applyAlignment="1">
      <alignment horizontal="center" vertical="center" justifyLastLine="1"/>
    </xf>
    <xf numFmtId="0" fontId="15" fillId="0" borderId="37" xfId="49" quotePrefix="1" applyFont="1" applyFill="1" applyBorder="1">
      <alignment horizontal="left" vertical="center" indent="1" justifyLastLine="1"/>
    </xf>
    <xf numFmtId="0" fontId="2" fillId="0" borderId="37" xfId="49" quotePrefix="1" applyFill="1" applyBorder="1" applyAlignment="1">
      <alignment horizontal="center" vertical="center" justifyLastLine="1"/>
    </xf>
    <xf numFmtId="0" fontId="2" fillId="0" borderId="37" xfId="49" quotePrefix="1" applyFill="1" applyBorder="1">
      <alignment horizontal="left" vertical="center" indent="1" justifyLastLine="1"/>
    </xf>
    <xf numFmtId="49" fontId="2" fillId="0" borderId="37" xfId="57" applyNumberFormat="1" applyFill="1" applyBorder="1" applyAlignment="1">
      <alignment horizontal="center" vertical="center"/>
    </xf>
    <xf numFmtId="0" fontId="2" fillId="45" borderId="37" xfId="49" quotePrefix="1" applyFill="1" applyBorder="1" applyAlignment="1">
      <alignment horizontal="center" vertical="center" justifyLastLine="1"/>
    </xf>
    <xf numFmtId="0" fontId="2" fillId="45" borderId="37" xfId="49" quotePrefix="1" applyFill="1" applyBorder="1">
      <alignment horizontal="left" vertical="center" indent="1" justifyLastLine="1"/>
    </xf>
    <xf numFmtId="49" fontId="2" fillId="45" borderId="37" xfId="57" applyNumberFormat="1" applyFill="1" applyBorder="1" applyAlignment="1">
      <alignment horizontal="center" vertical="center"/>
    </xf>
    <xf numFmtId="0" fontId="15" fillId="0" borderId="37" xfId="49" quotePrefix="1" applyFont="1" applyFill="1" applyBorder="1" applyAlignment="1">
      <alignment horizontal="center" vertical="center" justifyLastLine="1"/>
    </xf>
    <xf numFmtId="49" fontId="15" fillId="0" borderId="37" xfId="57" applyNumberFormat="1" applyFont="1" applyFill="1" applyBorder="1" applyAlignment="1">
      <alignment horizontal="center" vertical="center"/>
    </xf>
    <xf numFmtId="49" fontId="15" fillId="0" borderId="37" xfId="23" applyNumberFormat="1" applyFont="1" applyFill="1" applyBorder="1" applyAlignment="1">
      <alignment horizontal="center" vertical="center"/>
    </xf>
    <xf numFmtId="0" fontId="2" fillId="0" borderId="38" xfId="49" quotePrefix="1" applyFill="1" applyBorder="1" applyAlignment="1">
      <alignment horizontal="center" vertical="center" justifyLastLine="1"/>
    </xf>
    <xf numFmtId="0" fontId="3" fillId="52" borderId="37" xfId="47" quotePrefix="1" applyFont="1" applyFill="1" applyBorder="1">
      <alignment horizontal="left" vertical="center" indent="1" justifyLastLine="1"/>
    </xf>
    <xf numFmtId="164" fontId="3" fillId="0" borderId="37" xfId="49" quotePrefix="1" applyNumberFormat="1" applyFont="1" applyFill="1" applyBorder="1" applyAlignment="1">
      <alignment horizontal="center" vertical="center" justifyLastLine="1"/>
    </xf>
    <xf numFmtId="0" fontId="3" fillId="0" borderId="37" xfId="49" quotePrefix="1" applyFont="1" applyFill="1" applyBorder="1">
      <alignment horizontal="left" vertical="center" indent="1" justifyLastLine="1"/>
    </xf>
    <xf numFmtId="4" fontId="35" fillId="0" borderId="37" xfId="57" applyNumberFormat="1" applyFont="1" applyFill="1" applyBorder="1">
      <alignment horizontal="right" vertical="center"/>
    </xf>
    <xf numFmtId="49" fontId="3" fillId="0" borderId="37" xfId="57" applyNumberFormat="1" applyFont="1" applyFill="1" applyBorder="1" applyAlignment="1">
      <alignment horizontal="center" vertical="center"/>
    </xf>
    <xf numFmtId="49" fontId="15" fillId="45" borderId="37" xfId="23" applyNumberFormat="1" applyFont="1" applyFill="1" applyBorder="1" applyAlignment="1">
      <alignment horizontal="center" vertical="center"/>
    </xf>
    <xf numFmtId="49" fontId="15" fillId="50" borderId="37" xfId="23" applyNumberFormat="1" applyFont="1" applyFill="1" applyBorder="1" applyAlignment="1">
      <alignment horizontal="center" vertical="center"/>
    </xf>
    <xf numFmtId="0" fontId="1" fillId="0" borderId="37" xfId="49" quotePrefix="1" applyFont="1" applyFill="1" applyBorder="1">
      <alignment horizontal="left" vertical="center" indent="1" justifyLastLine="1"/>
    </xf>
    <xf numFmtId="49" fontId="1" fillId="0" borderId="37" xfId="23" applyNumberFormat="1" applyFont="1" applyFill="1" applyBorder="1" applyAlignment="1">
      <alignment horizontal="center" vertical="center"/>
    </xf>
    <xf numFmtId="0" fontId="2" fillId="0" borderId="37" xfId="49" quotePrefix="1" applyFont="1" applyFill="1" applyBorder="1" applyAlignment="1">
      <alignment horizontal="center" vertical="center" justifyLastLine="1"/>
    </xf>
    <xf numFmtId="0" fontId="2" fillId="0" borderId="37" xfId="49" quotePrefix="1" applyFont="1" applyFill="1" applyBorder="1" applyAlignment="1">
      <alignment horizontal="left" vertical="center" indent="1" justifyLastLine="1"/>
    </xf>
    <xf numFmtId="0" fontId="15" fillId="0" borderId="37" xfId="49" quotePrefix="1" applyFont="1" applyFill="1" applyBorder="1" applyAlignment="1">
      <alignment horizontal="left" vertical="center" indent="1" justifyLastLine="1"/>
    </xf>
    <xf numFmtId="0" fontId="2" fillId="45" borderId="37" xfId="49" quotePrefix="1" applyFont="1" applyFill="1" applyBorder="1" applyAlignment="1">
      <alignment horizontal="center" vertical="center" justifyLastLine="1"/>
    </xf>
    <xf numFmtId="0" fontId="2" fillId="45" borderId="37" xfId="49" quotePrefix="1" applyFont="1" applyFill="1" applyBorder="1" applyAlignment="1">
      <alignment horizontal="left" vertical="center" indent="1" justifyLastLine="1"/>
    </xf>
    <xf numFmtId="4" fontId="2" fillId="45" borderId="37" xfId="57" applyNumberFormat="1" applyFont="1" applyFill="1" applyBorder="1">
      <alignment horizontal="right" vertical="center"/>
    </xf>
    <xf numFmtId="0" fontId="3" fillId="0" borderId="37" xfId="49" quotePrefix="1" applyFont="1" applyFill="1" applyBorder="1" applyAlignment="1">
      <alignment horizontal="center" vertical="center" justifyLastLine="1"/>
    </xf>
    <xf numFmtId="0" fontId="16" fillId="48" borderId="45" xfId="45" quotePrefix="1" applyFont="1" applyFill="1" applyBorder="1" applyAlignment="1">
      <alignment vertical="center" justifyLastLine="1"/>
    </xf>
    <xf numFmtId="4" fontId="15" fillId="52" borderId="19" xfId="23" applyNumberFormat="1" applyFont="1" applyFill="1" applyBorder="1">
      <alignment vertical="center"/>
    </xf>
    <xf numFmtId="0" fontId="27" fillId="0" borderId="37" xfId="49" quotePrefix="1" applyFont="1" applyFill="1" applyBorder="1" applyAlignment="1">
      <alignment horizontal="center" vertical="center" justifyLastLine="1"/>
    </xf>
    <xf numFmtId="4" fontId="15" fillId="46" borderId="37" xfId="23" applyNumberFormat="1" applyFont="1" applyFill="1" applyBorder="1">
      <alignment vertical="center"/>
    </xf>
    <xf numFmtId="0" fontId="40" fillId="0" borderId="0" xfId="0" applyFont="1"/>
    <xf numFmtId="0" fontId="41" fillId="0" borderId="0" xfId="0" applyFont="1" applyAlignment="1">
      <alignment horizontal="right"/>
    </xf>
    <xf numFmtId="0" fontId="41" fillId="0" borderId="0" xfId="0" applyFont="1"/>
    <xf numFmtId="4" fontId="41" fillId="0" borderId="0" xfId="0" applyNumberFormat="1" applyFont="1"/>
    <xf numFmtId="49" fontId="21" fillId="0" borderId="0" xfId="0" applyNumberFormat="1" applyFont="1" applyAlignment="1">
      <alignment vertical="center" wrapText="1"/>
    </xf>
    <xf numFmtId="0" fontId="17" fillId="0" borderId="0" xfId="0" applyFont="1" applyAlignment="1"/>
    <xf numFmtId="0" fontId="21" fillId="0" borderId="0" xfId="0" applyFont="1"/>
    <xf numFmtId="49" fontId="16" fillId="49" borderId="20" xfId="0" applyNumberFormat="1" applyFont="1" applyFill="1" applyBorder="1" applyAlignment="1">
      <alignment horizontal="center" vertical="center" wrapText="1"/>
    </xf>
    <xf numFmtId="0" fontId="16" fillId="0" borderId="0" xfId="0" applyFont="1"/>
    <xf numFmtId="49" fontId="21" fillId="0" borderId="20" xfId="0" applyNumberFormat="1" applyFont="1" applyBorder="1" applyAlignment="1">
      <alignment horizontal="center" vertical="center" wrapText="1"/>
    </xf>
    <xf numFmtId="2" fontId="21" fillId="48" borderId="21" xfId="0" applyNumberFormat="1" applyFont="1" applyFill="1" applyBorder="1" applyAlignment="1">
      <alignment horizontal="center" vertical="center"/>
    </xf>
    <xf numFmtId="2" fontId="16" fillId="48" borderId="21" xfId="0" applyNumberFormat="1" applyFont="1" applyFill="1" applyBorder="1" applyAlignment="1">
      <alignment horizontal="center" vertical="center"/>
    </xf>
    <xf numFmtId="2" fontId="16" fillId="48" borderId="21" xfId="0" applyNumberFormat="1" applyFont="1" applyFill="1" applyBorder="1" applyAlignment="1">
      <alignment vertical="center" wrapText="1"/>
    </xf>
    <xf numFmtId="3" fontId="16" fillId="48" borderId="21" xfId="0" applyNumberFormat="1" applyFont="1" applyFill="1" applyBorder="1" applyAlignment="1">
      <alignment vertical="center"/>
    </xf>
    <xf numFmtId="2" fontId="21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2" fontId="21" fillId="48" borderId="23" xfId="0" applyNumberFormat="1" applyFont="1" applyFill="1" applyBorder="1" applyAlignment="1">
      <alignment horizontal="center" vertical="center"/>
    </xf>
    <xf numFmtId="2" fontId="16" fillId="48" borderId="23" xfId="0" applyNumberFormat="1" applyFont="1" applyFill="1" applyBorder="1" applyAlignment="1">
      <alignment horizontal="center" vertical="center"/>
    </xf>
    <xf numFmtId="2" fontId="16" fillId="48" borderId="23" xfId="0" applyNumberFormat="1" applyFont="1" applyFill="1" applyBorder="1" applyAlignment="1">
      <alignment vertical="center" wrapText="1"/>
    </xf>
    <xf numFmtId="3" fontId="16" fillId="48" borderId="23" xfId="0" applyNumberFormat="1" applyFont="1" applyFill="1" applyBorder="1" applyAlignment="1">
      <alignment vertical="center"/>
    </xf>
    <xf numFmtId="2" fontId="21" fillId="51" borderId="23" xfId="0" applyNumberFormat="1" applyFont="1" applyFill="1" applyBorder="1" applyAlignment="1">
      <alignment horizontal="center" vertical="center"/>
    </xf>
    <xf numFmtId="2" fontId="16" fillId="51" borderId="23" xfId="0" applyNumberFormat="1" applyFont="1" applyFill="1" applyBorder="1" applyAlignment="1">
      <alignment horizontal="center" vertical="center"/>
    </xf>
    <xf numFmtId="2" fontId="16" fillId="51" borderId="23" xfId="0" applyNumberFormat="1" applyFont="1" applyFill="1" applyBorder="1" applyAlignment="1">
      <alignment vertical="center" wrapText="1"/>
    </xf>
    <xf numFmtId="3" fontId="16" fillId="51" borderId="23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2" fontId="21" fillId="0" borderId="23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3" fontId="21" fillId="0" borderId="23" xfId="0" applyNumberFormat="1" applyFont="1" applyFill="1" applyBorder="1" applyAlignment="1">
      <alignment vertical="center"/>
    </xf>
    <xf numFmtId="49" fontId="21" fillId="51" borderId="23" xfId="0" applyNumberFormat="1" applyFont="1" applyFill="1" applyBorder="1" applyAlignment="1">
      <alignment horizontal="center" vertical="center"/>
    </xf>
    <xf numFmtId="49" fontId="16" fillId="51" borderId="23" xfId="0" applyNumberFormat="1" applyFont="1" applyFill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2" fontId="21" fillId="0" borderId="35" xfId="0" applyNumberFormat="1" applyFont="1" applyBorder="1" applyAlignment="1">
      <alignment horizontal="center" vertical="center"/>
    </xf>
    <xf numFmtId="2" fontId="16" fillId="0" borderId="35" xfId="0" applyNumberFormat="1" applyFont="1" applyBorder="1" applyAlignment="1">
      <alignment horizontal="center" vertical="center"/>
    </xf>
    <xf numFmtId="3" fontId="21" fillId="0" borderId="35" xfId="0" applyNumberFormat="1" applyFont="1" applyBorder="1" applyAlignment="1">
      <alignment vertical="center"/>
    </xf>
    <xf numFmtId="1" fontId="21" fillId="48" borderId="23" xfId="0" applyNumberFormat="1" applyFont="1" applyFill="1" applyBorder="1" applyAlignment="1">
      <alignment horizontal="center" vertical="center"/>
    </xf>
    <xf numFmtId="49" fontId="16" fillId="48" borderId="23" xfId="0" applyNumberFormat="1" applyFont="1" applyFill="1" applyBorder="1" applyAlignment="1">
      <alignment vertical="center" wrapText="1"/>
    </xf>
    <xf numFmtId="49" fontId="21" fillId="49" borderId="20" xfId="0" applyNumberFormat="1" applyFont="1" applyFill="1" applyBorder="1" applyAlignment="1">
      <alignment horizontal="center" vertical="center"/>
    </xf>
    <xf numFmtId="49" fontId="16" fillId="49" borderId="20" xfId="0" applyNumberFormat="1" applyFont="1" applyFill="1" applyBorder="1" applyAlignment="1">
      <alignment horizontal="center" vertical="center"/>
    </xf>
    <xf numFmtId="3" fontId="16" fillId="49" borderId="20" xfId="0" applyNumberFormat="1" applyFont="1" applyFill="1" applyBorder="1" applyAlignment="1">
      <alignment vertical="center"/>
    </xf>
    <xf numFmtId="0" fontId="21" fillId="0" borderId="0" xfId="0" applyFont="1" applyFill="1"/>
    <xf numFmtId="49" fontId="2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0" fontId="2" fillId="52" borderId="37" xfId="49" quotePrefix="1" applyFill="1" applyBorder="1" applyAlignment="1">
      <alignment horizontal="center" vertical="center" justifyLastLine="1"/>
    </xf>
    <xf numFmtId="4" fontId="15" fillId="52" borderId="37" xfId="49" quotePrefix="1" applyNumberFormat="1" applyFont="1" applyFill="1" applyBorder="1" applyAlignment="1">
      <alignment horizontal="right" vertical="center" justifyLastLine="1"/>
    </xf>
    <xf numFmtId="4" fontId="35" fillId="0" borderId="0" xfId="0" applyNumberFormat="1" applyFont="1"/>
    <xf numFmtId="0" fontId="35" fillId="0" borderId="0" xfId="0" applyFont="1"/>
    <xf numFmtId="0" fontId="34" fillId="0" borderId="19" xfId="49" quotePrefix="1" applyFont="1" applyFill="1" applyBorder="1" applyAlignment="1">
      <alignment horizontal="center" vertical="center" justifyLastLine="1"/>
    </xf>
    <xf numFmtId="2" fontId="42" fillId="0" borderId="22" xfId="0" applyNumberFormat="1" applyFont="1" applyBorder="1" applyAlignment="1">
      <alignment horizontal="left" vertical="center" wrapText="1"/>
    </xf>
    <xf numFmtId="4" fontId="35" fillId="0" borderId="0" xfId="0" applyNumberFormat="1" applyFont="1" applyBorder="1"/>
    <xf numFmtId="4" fontId="26" fillId="0" borderId="0" xfId="0" applyNumberFormat="1" applyFont="1"/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4" fontId="15" fillId="0" borderId="19" xfId="23" applyNumberFormat="1" applyFont="1" applyFill="1" applyBorder="1" applyAlignment="1">
      <alignment horizontal="center" vertical="center"/>
    </xf>
    <xf numFmtId="3" fontId="15" fillId="0" borderId="9" xfId="23" applyNumberFormat="1" applyFont="1" applyFill="1" applyBorder="1" applyAlignment="1">
      <alignment horizontal="center" vertical="center"/>
    </xf>
    <xf numFmtId="4" fontId="33" fillId="46" borderId="43" xfId="23" applyNumberFormat="1" applyFont="1" applyFill="1" applyBorder="1">
      <alignment vertical="center"/>
    </xf>
    <xf numFmtId="4" fontId="15" fillId="46" borderId="43" xfId="23" applyNumberFormat="1" applyFont="1" applyFill="1" applyBorder="1">
      <alignment vertical="center"/>
    </xf>
    <xf numFmtId="3" fontId="33" fillId="46" borderId="19" xfId="23" applyNumberFormat="1" applyFont="1" applyFill="1" applyBorder="1" applyAlignment="1">
      <alignment horizontal="center" vertical="center"/>
    </xf>
    <xf numFmtId="3" fontId="15" fillId="46" borderId="37" xfId="23" applyNumberFormat="1" applyFont="1" applyFill="1" applyBorder="1" applyAlignment="1">
      <alignment horizontal="center" vertical="center"/>
    </xf>
    <xf numFmtId="4" fontId="15" fillId="46" borderId="19" xfId="23" applyNumberFormat="1" applyFont="1" applyFill="1" applyBorder="1">
      <alignment vertical="center"/>
    </xf>
    <xf numFmtId="4" fontId="18" fillId="47" borderId="19" xfId="23" applyNumberFormat="1" applyFont="1" applyFill="1" applyBorder="1">
      <alignment vertical="center"/>
    </xf>
    <xf numFmtId="49" fontId="18" fillId="47" borderId="19" xfId="23" applyNumberFormat="1" applyFont="1" applyFill="1" applyBorder="1" applyAlignment="1">
      <alignment horizontal="center" vertical="center"/>
    </xf>
    <xf numFmtId="3" fontId="15" fillId="46" borderId="43" xfId="23" applyNumberFormat="1" applyFont="1" applyFill="1" applyBorder="1" applyAlignment="1">
      <alignment horizontal="center" vertical="center"/>
    </xf>
    <xf numFmtId="0" fontId="1" fillId="45" borderId="43" xfId="49" quotePrefix="1" applyFont="1" applyFill="1" applyBorder="1" applyAlignment="1">
      <alignment horizontal="center" vertical="center" justifyLastLine="1"/>
    </xf>
    <xf numFmtId="49" fontId="1" fillId="45" borderId="43" xfId="57" applyNumberFormat="1" applyFont="1" applyFill="1" applyBorder="1" applyAlignment="1">
      <alignment horizontal="center" vertical="center"/>
    </xf>
    <xf numFmtId="0" fontId="1" fillId="50" borderId="43" xfId="49" applyFont="1" applyFill="1" applyBorder="1">
      <alignment horizontal="left" vertical="center" indent="1" justifyLastLine="1"/>
    </xf>
    <xf numFmtId="0" fontId="1" fillId="45" borderId="43" xfId="49" applyFont="1" applyFill="1" applyBorder="1">
      <alignment horizontal="left" vertical="center" indent="1" justifyLastLine="1"/>
    </xf>
    <xf numFmtId="4" fontId="15" fillId="50" borderId="43" xfId="57" applyNumberFormat="1" applyFont="1" applyFill="1" applyBorder="1">
      <alignment horizontal="right" vertical="center"/>
    </xf>
    <xf numFmtId="43" fontId="0" fillId="0" borderId="0" xfId="65" applyFont="1"/>
    <xf numFmtId="43" fontId="0" fillId="0" borderId="0" xfId="0" applyNumberFormat="1"/>
    <xf numFmtId="0" fontId="44" fillId="0" borderId="0" xfId="0" applyFont="1"/>
    <xf numFmtId="0" fontId="0" fillId="0" borderId="0" xfId="0" applyFont="1"/>
    <xf numFmtId="4" fontId="35" fillId="0" borderId="37" xfId="23" applyNumberFormat="1" applyFont="1" applyFill="1" applyBorder="1">
      <alignment vertical="center"/>
    </xf>
    <xf numFmtId="0" fontId="16" fillId="48" borderId="48" xfId="27" quotePrefix="1" applyNumberFormat="1" applyFont="1" applyFill="1" applyBorder="1" applyAlignment="1">
      <alignment horizontal="center" vertical="center" wrapText="1"/>
    </xf>
    <xf numFmtId="0" fontId="16" fillId="48" borderId="48" xfId="27" applyNumberFormat="1" applyFont="1" applyFill="1" applyBorder="1" applyAlignment="1">
      <alignment horizontal="center" vertical="center" wrapText="1"/>
    </xf>
    <xf numFmtId="164" fontId="16" fillId="48" borderId="49" xfId="45" applyNumberFormat="1" applyFont="1" applyFill="1" applyBorder="1" applyAlignment="1">
      <alignment vertical="center" justifyLastLine="1"/>
    </xf>
    <xf numFmtId="4" fontId="16" fillId="48" borderId="43" xfId="23" applyNumberFormat="1" applyFont="1" applyFill="1" applyBorder="1">
      <alignment vertical="center"/>
    </xf>
    <xf numFmtId="4" fontId="16" fillId="46" borderId="43" xfId="23" applyNumberFormat="1" applyFont="1" applyFill="1" applyBorder="1">
      <alignment vertical="center"/>
    </xf>
    <xf numFmtId="4" fontId="22" fillId="47" borderId="43" xfId="23" applyNumberFormat="1" applyFont="1" applyFill="1" applyBorder="1">
      <alignment vertical="center"/>
    </xf>
    <xf numFmtId="164" fontId="15" fillId="0" borderId="43" xfId="49" quotePrefix="1" applyNumberFormat="1" applyFont="1" applyFill="1" applyBorder="1" applyAlignment="1">
      <alignment horizontal="center" vertical="center" justifyLastLine="1"/>
    </xf>
    <xf numFmtId="0" fontId="15" fillId="0" borderId="43" xfId="49" quotePrefix="1" applyFont="1" applyFill="1" applyBorder="1">
      <alignment horizontal="left" vertical="center" indent="1" justifyLastLine="1"/>
    </xf>
    <xf numFmtId="49" fontId="15" fillId="44" borderId="43" xfId="23" applyNumberFormat="1" applyFont="1" applyFill="1" applyBorder="1" applyAlignment="1">
      <alignment horizontal="center" vertical="center"/>
    </xf>
    <xf numFmtId="164" fontId="16" fillId="48" borderId="49" xfId="45" quotePrefix="1" applyNumberFormat="1" applyFont="1" applyFill="1" applyBorder="1" applyAlignment="1">
      <alignment vertical="center" justifyLastLine="1"/>
    </xf>
    <xf numFmtId="164" fontId="15" fillId="52" borderId="43" xfId="47" quotePrefix="1" applyNumberFormat="1" applyFont="1" applyFill="1" applyBorder="1" applyAlignment="1">
      <alignment horizontal="center" vertical="center" justifyLastLine="1"/>
    </xf>
    <xf numFmtId="0" fontId="15" fillId="52" borderId="43" xfId="47" quotePrefix="1" applyFont="1" applyFill="1" applyBorder="1">
      <alignment horizontal="left" vertical="center" indent="1" justifyLastLine="1"/>
    </xf>
    <xf numFmtId="49" fontId="15" fillId="52" borderId="43" xfId="23" applyNumberFormat="1" applyFont="1" applyFill="1" applyBorder="1" applyAlignment="1">
      <alignment horizontal="center" vertical="center"/>
    </xf>
    <xf numFmtId="0" fontId="2" fillId="0" borderId="43" xfId="49" quotePrefix="1" applyFill="1" applyBorder="1" applyAlignment="1">
      <alignment horizontal="center" vertical="center" justifyLastLine="1"/>
    </xf>
    <xf numFmtId="0" fontId="2" fillId="0" borderId="43" xfId="49" quotePrefix="1" applyFill="1" applyBorder="1">
      <alignment horizontal="left" vertical="center" indent="1" justifyLastLine="1"/>
    </xf>
    <xf numFmtId="0" fontId="1" fillId="0" borderId="43" xfId="49" applyFont="1" applyFill="1" applyBorder="1">
      <alignment horizontal="left" vertical="center" indent="1" justifyLastLine="1"/>
    </xf>
    <xf numFmtId="0" fontId="2" fillId="45" borderId="43" xfId="49" quotePrefix="1" applyFill="1" applyBorder="1" applyAlignment="1">
      <alignment horizontal="center" vertical="center" justifyLastLine="1"/>
    </xf>
    <xf numFmtId="0" fontId="2" fillId="45" borderId="43" xfId="49" quotePrefix="1" applyFill="1" applyBorder="1">
      <alignment horizontal="left" vertical="center" indent="1" justifyLastLine="1"/>
    </xf>
    <xf numFmtId="0" fontId="2" fillId="45" borderId="43" xfId="49" applyFill="1" applyBorder="1">
      <alignment horizontal="left" vertical="center" indent="1" justifyLastLine="1"/>
    </xf>
    <xf numFmtId="0" fontId="36" fillId="48" borderId="8" xfId="27" quotePrefix="1" applyNumberFormat="1" applyFont="1" applyFill="1" applyBorder="1" applyAlignment="1">
      <alignment horizontal="center" vertical="center" wrapText="1"/>
    </xf>
    <xf numFmtId="4" fontId="19" fillId="0" borderId="19" xfId="23" applyNumberFormat="1" applyFont="1" applyFill="1" applyBorder="1">
      <alignment vertical="center"/>
    </xf>
    <xf numFmtId="4" fontId="35" fillId="0" borderId="19" xfId="57" applyNumberFormat="1" applyFont="1" applyFill="1" applyBorder="1">
      <alignment horizontal="right" vertical="center"/>
    </xf>
    <xf numFmtId="4" fontId="35" fillId="45" borderId="19" xfId="57" applyNumberFormat="1" applyFont="1" applyFill="1" applyBorder="1">
      <alignment horizontal="right" vertical="center"/>
    </xf>
    <xf numFmtId="4" fontId="35" fillId="0" borderId="19" xfId="23" applyNumberFormat="1" applyFont="1" applyFill="1" applyBorder="1">
      <alignment vertical="center"/>
    </xf>
    <xf numFmtId="4" fontId="35" fillId="0" borderId="19" xfId="57" applyNumberFormat="1" applyFont="1" applyBorder="1">
      <alignment horizontal="right" vertical="center"/>
    </xf>
    <xf numFmtId="4" fontId="19" fillId="0" borderId="10" xfId="57" applyNumberFormat="1" applyFont="1" applyFill="1" applyBorder="1">
      <alignment horizontal="right" vertical="center"/>
    </xf>
    <xf numFmtId="4" fontId="19" fillId="0" borderId="19" xfId="57" applyNumberFormat="1" applyFont="1" applyFill="1" applyBorder="1">
      <alignment horizontal="right" vertical="center"/>
    </xf>
    <xf numFmtId="4" fontId="19" fillId="45" borderId="19" xfId="23" applyNumberFormat="1" applyFont="1" applyFill="1" applyBorder="1">
      <alignment vertical="center"/>
    </xf>
    <xf numFmtId="4" fontId="35" fillId="45" borderId="43" xfId="57" applyNumberFormat="1" applyFont="1" applyFill="1" applyBorder="1">
      <alignment horizontal="right" vertical="center"/>
    </xf>
    <xf numFmtId="4" fontId="19" fillId="52" borderId="37" xfId="49" quotePrefix="1" applyNumberFormat="1" applyFont="1" applyFill="1" applyBorder="1" applyAlignment="1">
      <alignment horizontal="right" vertical="center" justifyLastLine="1"/>
    </xf>
    <xf numFmtId="4" fontId="19" fillId="52" borderId="37" xfId="23" applyNumberFormat="1" applyFont="1" applyFill="1" applyBorder="1">
      <alignment vertical="center"/>
    </xf>
    <xf numFmtId="4" fontId="35" fillId="45" borderId="37" xfId="57" applyNumberFormat="1" applyFont="1" applyFill="1" applyBorder="1">
      <alignment horizontal="right" vertical="center"/>
    </xf>
    <xf numFmtId="4" fontId="19" fillId="0" borderId="37" xfId="23" applyNumberFormat="1" applyFont="1" applyFill="1" applyBorder="1">
      <alignment vertical="center"/>
    </xf>
    <xf numFmtId="4" fontId="19" fillId="0" borderId="37" xfId="57" applyNumberFormat="1" applyFont="1" applyFill="1" applyBorder="1">
      <alignment horizontal="right" vertical="center"/>
    </xf>
    <xf numFmtId="3" fontId="15" fillId="46" borderId="19" xfId="23" applyNumberFormat="1" applyFont="1" applyFill="1" applyBorder="1" applyAlignment="1">
      <alignment horizontal="center" vertical="center"/>
    </xf>
    <xf numFmtId="4" fontId="15" fillId="46" borderId="19" xfId="23" applyNumberFormat="1" applyFont="1" applyFill="1" applyBorder="1" applyAlignment="1">
      <alignment horizontal="center" vertical="center"/>
    </xf>
    <xf numFmtId="164" fontId="16" fillId="48" borderId="50" xfId="45" quotePrefix="1" applyNumberFormat="1" applyFont="1" applyFill="1" applyBorder="1" applyAlignment="1">
      <alignment vertical="center" justifyLastLine="1"/>
    </xf>
    <xf numFmtId="0" fontId="16" fillId="48" borderId="50" xfId="45" quotePrefix="1" applyFont="1" applyFill="1" applyBorder="1" applyAlignment="1">
      <alignment vertical="center" justifyLastLine="1"/>
    </xf>
    <xf numFmtId="0" fontId="16" fillId="48" borderId="50" xfId="27" quotePrefix="1" applyNumberFormat="1" applyFont="1" applyFill="1" applyBorder="1" applyAlignment="1">
      <alignment horizontal="center" vertical="center" wrapText="1"/>
    </xf>
    <xf numFmtId="0" fontId="16" fillId="48" borderId="50" xfId="27" applyNumberFormat="1" applyFont="1" applyFill="1" applyBorder="1" applyAlignment="1">
      <alignment horizontal="center" vertical="center" wrapText="1"/>
    </xf>
    <xf numFmtId="0" fontId="36" fillId="48" borderId="50" xfId="27" quotePrefix="1" applyNumberFormat="1" applyFont="1" applyFill="1" applyBorder="1" applyAlignment="1">
      <alignment horizontal="center" vertical="center" wrapText="1"/>
    </xf>
    <xf numFmtId="164" fontId="16" fillId="48" borderId="50" xfId="45" applyNumberFormat="1" applyFont="1" applyFill="1" applyBorder="1" applyAlignment="1">
      <alignment vertical="center" justifyLastLine="1"/>
    </xf>
    <xf numFmtId="4" fontId="16" fillId="48" borderId="50" xfId="23" applyNumberFormat="1" applyFont="1" applyFill="1" applyBorder="1">
      <alignment vertical="center"/>
    </xf>
    <xf numFmtId="4" fontId="16" fillId="46" borderId="50" xfId="23" applyNumberFormat="1" applyFont="1" applyFill="1" applyBorder="1">
      <alignment vertical="center"/>
    </xf>
    <xf numFmtId="3" fontId="16" fillId="46" borderId="50" xfId="23" applyNumberFormat="1" applyFont="1" applyFill="1" applyBorder="1" applyAlignment="1">
      <alignment horizontal="center" vertical="center"/>
    </xf>
    <xf numFmtId="49" fontId="16" fillId="46" borderId="50" xfId="23" applyNumberFormat="1" applyFont="1" applyFill="1" applyBorder="1" applyAlignment="1">
      <alignment horizontal="center" vertical="center"/>
    </xf>
    <xf numFmtId="4" fontId="22" fillId="47" borderId="50" xfId="23" applyNumberFormat="1" applyFont="1" applyFill="1" applyBorder="1">
      <alignment vertical="center"/>
    </xf>
    <xf numFmtId="49" fontId="22" fillId="47" borderId="50" xfId="23" applyNumberFormat="1" applyFont="1" applyFill="1" applyBorder="1" applyAlignment="1">
      <alignment horizontal="center" vertical="center"/>
    </xf>
    <xf numFmtId="4" fontId="18" fillId="48" borderId="50" xfId="23" applyNumberFormat="1" applyFont="1" applyFill="1" applyBorder="1">
      <alignment vertical="center"/>
    </xf>
    <xf numFmtId="164" fontId="15" fillId="52" borderId="50" xfId="47" quotePrefix="1" applyNumberFormat="1" applyFont="1" applyFill="1" applyBorder="1" applyAlignment="1">
      <alignment horizontal="center" vertical="center" justifyLastLine="1"/>
    </xf>
    <xf numFmtId="0" fontId="15" fillId="52" borderId="50" xfId="47" quotePrefix="1" applyFont="1" applyFill="1" applyBorder="1">
      <alignment horizontal="left" vertical="center" indent="1" justifyLastLine="1"/>
    </xf>
    <xf numFmtId="49" fontId="15" fillId="52" borderId="50" xfId="23" applyNumberFormat="1" applyFont="1" applyFill="1" applyBorder="1" applyAlignment="1">
      <alignment horizontal="center" vertical="center"/>
    </xf>
    <xf numFmtId="4" fontId="15" fillId="52" borderId="50" xfId="23" applyNumberFormat="1" applyFont="1" applyFill="1" applyBorder="1">
      <alignment vertical="center"/>
    </xf>
    <xf numFmtId="164" fontId="15" fillId="0" borderId="50" xfId="49" quotePrefix="1" applyNumberFormat="1" applyFont="1" applyFill="1" applyBorder="1" applyAlignment="1">
      <alignment horizontal="center" vertical="center" justifyLastLine="1"/>
    </xf>
    <xf numFmtId="0" fontId="15" fillId="0" borderId="50" xfId="49" quotePrefix="1" applyFont="1" applyFill="1" applyBorder="1">
      <alignment horizontal="left" vertical="center" indent="1" justifyLastLine="1"/>
    </xf>
    <xf numFmtId="49" fontId="15" fillId="0" borderId="50" xfId="23" applyNumberFormat="1" applyFont="1" applyFill="1" applyBorder="1" applyAlignment="1">
      <alignment horizontal="center" vertical="center"/>
    </xf>
    <xf numFmtId="4" fontId="15" fillId="0" borderId="50" xfId="23" applyNumberFormat="1" applyFont="1" applyFill="1" applyBorder="1">
      <alignment vertical="center"/>
    </xf>
    <xf numFmtId="0" fontId="2" fillId="0" borderId="50" xfId="49" quotePrefix="1" applyFont="1" applyFill="1" applyBorder="1" applyAlignment="1">
      <alignment horizontal="center" vertical="center" justifyLastLine="1"/>
    </xf>
    <xf numFmtId="0" fontId="2" fillId="0" borderId="50" xfId="49" quotePrefix="1" applyFont="1" applyFill="1" applyBorder="1">
      <alignment horizontal="left" vertical="center" indent="1" justifyLastLine="1"/>
    </xf>
    <xf numFmtId="49" fontId="2" fillId="0" borderId="50" xfId="57" applyNumberFormat="1" applyFont="1" applyFill="1" applyBorder="1" applyAlignment="1">
      <alignment horizontal="center" vertical="center"/>
    </xf>
    <xf numFmtId="4" fontId="2" fillId="0" borderId="50" xfId="57" applyNumberFormat="1" applyFont="1" applyFill="1" applyBorder="1">
      <alignment horizontal="right" vertical="center"/>
    </xf>
    <xf numFmtId="4" fontId="2" fillId="53" borderId="50" xfId="57" applyNumberFormat="1" applyFont="1" applyFill="1" applyBorder="1">
      <alignment horizontal="right" vertical="center"/>
    </xf>
    <xf numFmtId="0" fontId="2" fillId="45" borderId="50" xfId="49" quotePrefix="1" applyFont="1" applyFill="1" applyBorder="1" applyAlignment="1">
      <alignment horizontal="center" vertical="center" justifyLastLine="1"/>
    </xf>
    <xf numFmtId="0" fontId="2" fillId="0" borderId="50" xfId="49" applyFont="1" applyFill="1" applyBorder="1">
      <alignment horizontal="left" vertical="center" indent="1" justifyLastLine="1"/>
    </xf>
    <xf numFmtId="4" fontId="15" fillId="0" borderId="50" xfId="57" applyNumberFormat="1" applyFont="1" applyFill="1" applyBorder="1">
      <alignment horizontal="right" vertical="center"/>
    </xf>
    <xf numFmtId="0" fontId="15" fillId="0" borderId="50" xfId="49" quotePrefix="1" applyFont="1" applyFill="1" applyBorder="1" applyAlignment="1">
      <alignment horizontal="center" vertical="center" justifyLastLine="1"/>
    </xf>
    <xf numFmtId="49" fontId="15" fillId="0" borderId="50" xfId="57" applyNumberFormat="1" applyFont="1" applyFill="1" applyBorder="1" applyAlignment="1">
      <alignment horizontal="center" vertical="center"/>
    </xf>
    <xf numFmtId="49" fontId="1" fillId="0" borderId="50" xfId="23" applyNumberFormat="1" applyFont="1" applyFill="1" applyBorder="1" applyAlignment="1">
      <alignment horizontal="center" vertical="center"/>
    </xf>
    <xf numFmtId="4" fontId="1" fillId="0" borderId="50" xfId="23" applyNumberFormat="1" applyFont="1" applyFill="1" applyBorder="1">
      <alignment vertical="center"/>
    </xf>
    <xf numFmtId="164" fontId="1" fillId="0" borderId="50" xfId="49" quotePrefix="1" applyNumberFormat="1" applyFont="1" applyFill="1" applyBorder="1" applyAlignment="1">
      <alignment horizontal="center" vertical="center" justifyLastLine="1"/>
    </xf>
    <xf numFmtId="0" fontId="1" fillId="0" borderId="50" xfId="49" quotePrefix="1" applyFont="1" applyFill="1" applyBorder="1">
      <alignment horizontal="left" vertical="center" indent="1" justifyLastLine="1"/>
    </xf>
    <xf numFmtId="4" fontId="1" fillId="53" borderId="50" xfId="23" applyNumberFormat="1" applyFont="1" applyFill="1" applyBorder="1">
      <alignment vertical="center"/>
    </xf>
    <xf numFmtId="0" fontId="1" fillId="0" borderId="50" xfId="49" quotePrefix="1" applyFont="1" applyFill="1" applyBorder="1" applyAlignment="1">
      <alignment horizontal="center" vertical="center" justifyLastLine="1"/>
    </xf>
    <xf numFmtId="49" fontId="1" fillId="0" borderId="50" xfId="57" applyNumberFormat="1" applyFont="1" applyFill="1" applyBorder="1" applyAlignment="1">
      <alignment horizontal="center" vertical="center"/>
    </xf>
    <xf numFmtId="4" fontId="1" fillId="0" borderId="50" xfId="57" applyNumberFormat="1" applyFont="1" applyFill="1" applyBorder="1">
      <alignment horizontal="right" vertical="center"/>
    </xf>
    <xf numFmtId="0" fontId="15" fillId="0" borderId="50" xfId="49" applyFont="1" applyFill="1" applyBorder="1">
      <alignment horizontal="left" vertical="center" indent="1" justifyLastLine="1"/>
    </xf>
    <xf numFmtId="4" fontId="15" fillId="0" borderId="50" xfId="23" applyNumberFormat="1" applyFont="1" applyFill="1" applyBorder="1" applyAlignment="1">
      <alignment horizontal="center" vertical="center"/>
    </xf>
    <xf numFmtId="4" fontId="1" fillId="0" borderId="50" xfId="23" applyNumberFormat="1" applyFont="1" applyFill="1" applyBorder="1" applyAlignment="1">
      <alignment horizontal="center" vertical="center"/>
    </xf>
    <xf numFmtId="164" fontId="3" fillId="52" borderId="50" xfId="47" quotePrefix="1" applyNumberFormat="1" applyFont="1" applyFill="1" applyBorder="1" applyAlignment="1">
      <alignment horizontal="center" vertical="center" justifyLastLine="1"/>
    </xf>
    <xf numFmtId="0" fontId="3" fillId="52" borderId="50" xfId="47" quotePrefix="1" applyFont="1" applyFill="1" applyBorder="1">
      <alignment horizontal="left" vertical="center" indent="1" justifyLastLine="1"/>
    </xf>
    <xf numFmtId="0" fontId="15" fillId="52" borderId="50" xfId="47" applyFont="1" applyFill="1" applyBorder="1" applyAlignment="1">
      <alignment horizontal="left" vertical="center" indent="1"/>
    </xf>
    <xf numFmtId="4" fontId="3" fillId="0" borderId="50" xfId="57" applyNumberFormat="1" applyFont="1" applyFill="1" applyBorder="1">
      <alignment horizontal="right" vertical="center"/>
    </xf>
    <xf numFmtId="49" fontId="3" fillId="0" borderId="50" xfId="57" applyNumberFormat="1" applyFont="1" applyFill="1" applyBorder="1">
      <alignment horizontal="right" vertical="center"/>
    </xf>
    <xf numFmtId="49" fontId="15" fillId="0" borderId="50" xfId="57" applyNumberFormat="1" applyFont="1" applyFill="1" applyBorder="1">
      <alignment horizontal="right" vertical="center"/>
    </xf>
    <xf numFmtId="4" fontId="3" fillId="0" borderId="50" xfId="23" applyNumberFormat="1" applyFont="1" applyFill="1" applyBorder="1">
      <alignment vertical="center"/>
    </xf>
    <xf numFmtId="49" fontId="2" fillId="0" borderId="50" xfId="57" applyNumberFormat="1" applyFont="1" applyBorder="1" applyAlignment="1">
      <alignment horizontal="center" vertical="center"/>
    </xf>
    <xf numFmtId="4" fontId="35" fillId="0" borderId="50" xfId="57" applyNumberFormat="1" applyFont="1" applyFill="1" applyBorder="1">
      <alignment horizontal="right" vertical="center"/>
    </xf>
    <xf numFmtId="49" fontId="15" fillId="0" borderId="50" xfId="57" applyNumberFormat="1" applyFont="1" applyBorder="1" applyAlignment="1">
      <alignment horizontal="center" vertical="center"/>
    </xf>
    <xf numFmtId="1" fontId="2" fillId="0" borderId="37" xfId="49" quotePrefix="1" applyNumberFormat="1" applyFill="1" applyBorder="1" applyAlignment="1">
      <alignment horizontal="center" vertical="center" justifyLastLine="1"/>
    </xf>
    <xf numFmtId="1" fontId="15" fillId="0" borderId="19" xfId="57" applyNumberFormat="1" applyFont="1" applyFill="1" applyBorder="1" applyAlignment="1">
      <alignment horizontal="center" vertical="center"/>
    </xf>
    <xf numFmtId="3" fontId="2" fillId="0" borderId="37" xfId="49" quotePrefix="1" applyNumberFormat="1" applyFill="1" applyBorder="1" applyAlignment="1">
      <alignment horizontal="center" vertical="center" justifyLastLine="1"/>
    </xf>
    <xf numFmtId="3" fontId="15" fillId="0" borderId="19" xfId="57" applyNumberFormat="1" applyFont="1" applyFill="1" applyBorder="1" applyAlignment="1">
      <alignment horizontal="center" vertical="center"/>
    </xf>
    <xf numFmtId="3" fontId="15" fillId="0" borderId="37" xfId="23" applyNumberFormat="1" applyFont="1" applyFill="1" applyBorder="1" applyAlignment="1">
      <alignment horizontal="center" vertical="center"/>
    </xf>
    <xf numFmtId="164" fontId="15" fillId="52" borderId="37" xfId="47" applyNumberFormat="1" applyFont="1" applyFill="1" applyBorder="1" applyAlignment="1">
      <alignment horizontal="center" vertical="center" justifyLastLine="1"/>
    </xf>
    <xf numFmtId="164" fontId="3" fillId="52" borderId="37" xfId="47" applyNumberFormat="1" applyFont="1" applyFill="1" applyBorder="1" applyAlignment="1">
      <alignment horizontal="center" vertical="center" justifyLastLine="1"/>
    </xf>
    <xf numFmtId="4" fontId="15" fillId="44" borderId="1" xfId="23" applyFont="1" applyFill="1">
      <alignment vertical="center"/>
    </xf>
    <xf numFmtId="4" fontId="15" fillId="0" borderId="1" xfId="23" applyFont="1" applyFill="1">
      <alignment vertical="center"/>
    </xf>
    <xf numFmtId="4" fontId="2" fillId="0" borderId="1" xfId="57" applyFont="1" applyFill="1">
      <alignment horizontal="right" vertical="center"/>
    </xf>
    <xf numFmtId="4" fontId="2" fillId="0" borderId="10" xfId="57" applyFont="1" applyFill="1" applyBorder="1">
      <alignment horizontal="right" vertical="center"/>
    </xf>
    <xf numFmtId="4" fontId="2" fillId="0" borderId="38" xfId="57" applyFont="1" applyFill="1" applyBorder="1" applyAlignment="1">
      <alignment horizontal="right" vertical="center"/>
    </xf>
    <xf numFmtId="4" fontId="2" fillId="45" borderId="1" xfId="57" applyFont="1" applyFill="1">
      <alignment horizontal="right" vertical="center"/>
    </xf>
    <xf numFmtId="4" fontId="2" fillId="45" borderId="38" xfId="57" applyFont="1" applyFill="1" applyBorder="1" applyAlignment="1">
      <alignment horizontal="right" vertical="center"/>
    </xf>
    <xf numFmtId="4" fontId="2" fillId="45" borderId="10" xfId="57" applyFont="1" applyFill="1" applyBorder="1">
      <alignment horizontal="right" vertical="center"/>
    </xf>
    <xf numFmtId="4" fontId="2" fillId="45" borderId="15" xfId="57" applyFont="1" applyFill="1" applyBorder="1">
      <alignment horizontal="right" vertical="center"/>
    </xf>
    <xf numFmtId="4" fontId="2" fillId="45" borderId="40" xfId="57" applyFont="1" applyFill="1" applyBorder="1" applyAlignment="1">
      <alignment horizontal="right" vertical="center"/>
    </xf>
    <xf numFmtId="4" fontId="15" fillId="0" borderId="7" xfId="23" applyFont="1" applyFill="1" applyBorder="1">
      <alignment vertical="center"/>
    </xf>
    <xf numFmtId="4" fontId="15" fillId="0" borderId="1" xfId="57" applyFont="1" applyFill="1" applyAlignment="1">
      <alignment horizontal="right" vertical="center"/>
    </xf>
    <xf numFmtId="4" fontId="15" fillId="0" borderId="1" xfId="57" applyFont="1" applyFill="1">
      <alignment horizontal="right" vertical="center"/>
    </xf>
    <xf numFmtId="4" fontId="4" fillId="41" borderId="36" xfId="53" applyBorder="1">
      <alignment vertical="center"/>
    </xf>
    <xf numFmtId="4" fontId="4" fillId="41" borderId="36" xfId="53" applyBorder="1" applyAlignment="1">
      <alignment horizontal="right" vertical="center"/>
    </xf>
    <xf numFmtId="4" fontId="15" fillId="44" borderId="20" xfId="23" applyFont="1" applyFill="1" applyBorder="1">
      <alignment vertical="center"/>
    </xf>
    <xf numFmtId="4" fontId="15" fillId="44" borderId="20" xfId="23" applyFont="1" applyFill="1" applyBorder="1" applyAlignment="1">
      <alignment horizontal="right" vertical="center"/>
    </xf>
    <xf numFmtId="4" fontId="15" fillId="0" borderId="7" xfId="23" applyFont="1" applyFill="1" applyBorder="1" applyAlignment="1">
      <alignment horizontal="right" vertical="center"/>
    </xf>
    <xf numFmtId="4" fontId="2" fillId="0" borderId="1" xfId="23" applyFont="1" applyFill="1" applyAlignment="1">
      <alignment horizontal="right" vertical="center"/>
    </xf>
    <xf numFmtId="4" fontId="15" fillId="45" borderId="1" xfId="23" applyFont="1" applyFill="1">
      <alignment vertical="center"/>
    </xf>
    <xf numFmtId="4" fontId="15" fillId="45" borderId="1" xfId="23" applyFont="1" applyFill="1" applyAlignment="1">
      <alignment horizontal="right" vertical="center"/>
    </xf>
    <xf numFmtId="4" fontId="15" fillId="0" borderId="1" xfId="23" applyFont="1" applyFill="1" applyAlignment="1">
      <alignment horizontal="center" vertical="center"/>
    </xf>
    <xf numFmtId="4" fontId="15" fillId="44" borderId="16" xfId="23" applyFont="1" applyFill="1" applyBorder="1">
      <alignment vertical="center"/>
    </xf>
    <xf numFmtId="4" fontId="15" fillId="0" borderId="16" xfId="23" applyFont="1" applyFill="1" applyBorder="1">
      <alignment vertical="center"/>
    </xf>
    <xf numFmtId="4" fontId="2" fillId="0" borderId="16" xfId="57" applyFont="1" applyFill="1" applyBorder="1">
      <alignment horizontal="right" vertical="center"/>
    </xf>
    <xf numFmtId="4" fontId="15" fillId="52" borderId="43" xfId="23" applyFont="1" applyFill="1" applyBorder="1">
      <alignment vertical="center"/>
    </xf>
    <xf numFmtId="4" fontId="15" fillId="0" borderId="43" xfId="23" applyFont="1" applyFill="1" applyBorder="1">
      <alignment vertical="center"/>
    </xf>
    <xf numFmtId="4" fontId="2" fillId="0" borderId="43" xfId="57" applyFill="1" applyBorder="1">
      <alignment horizontal="right" vertical="center"/>
    </xf>
    <xf numFmtId="4" fontId="1" fillId="0" borderId="43" xfId="23" applyFont="1" applyFill="1" applyBorder="1">
      <alignment vertical="center"/>
    </xf>
    <xf numFmtId="4" fontId="2" fillId="45" borderId="43" xfId="57" applyFill="1" applyBorder="1">
      <alignment horizontal="right" vertical="center"/>
    </xf>
    <xf numFmtId="4" fontId="15" fillId="0" borderId="43" xfId="57" applyFont="1" applyFill="1" applyBorder="1">
      <alignment horizontal="right" vertical="center"/>
    </xf>
    <xf numFmtId="1" fontId="16" fillId="48" borderId="48" xfId="27" quotePrefix="1" applyNumberFormat="1" applyFont="1" applyFill="1" applyBorder="1" applyAlignment="1">
      <alignment horizontal="center" vertical="center" wrapText="1"/>
    </xf>
    <xf numFmtId="1" fontId="16" fillId="46" borderId="43" xfId="23" applyNumberFormat="1" applyFont="1" applyFill="1" applyBorder="1" applyAlignment="1">
      <alignment horizontal="center" vertical="center"/>
    </xf>
    <xf numFmtId="1" fontId="22" fillId="47" borderId="43" xfId="23" applyNumberFormat="1" applyFont="1" applyFill="1" applyBorder="1" applyAlignment="1">
      <alignment horizontal="center" vertical="center"/>
    </xf>
    <xf numFmtId="1" fontId="2" fillId="0" borderId="43" xfId="57" applyNumberFormat="1" applyFill="1" applyBorder="1" applyAlignment="1">
      <alignment horizontal="center" vertical="center"/>
    </xf>
    <xf numFmtId="1" fontId="2" fillId="45" borderId="43" xfId="57" applyNumberFormat="1" applyFill="1" applyBorder="1" applyAlignment="1">
      <alignment horizontal="center" vertical="center"/>
    </xf>
    <xf numFmtId="1" fontId="16" fillId="48" borderId="43" xfId="23" applyNumberFormat="1" applyFont="1" applyFill="1" applyBorder="1" applyAlignment="1">
      <alignment horizontal="center" vertical="center"/>
    </xf>
    <xf numFmtId="1" fontId="15" fillId="52" borderId="43" xfId="23" applyNumberFormat="1" applyFont="1" applyFill="1" applyBorder="1" applyAlignment="1">
      <alignment horizontal="center" vertical="center"/>
    </xf>
    <xf numFmtId="1" fontId="15" fillId="0" borderId="43" xfId="23" applyNumberFormat="1" applyFont="1" applyFill="1" applyBorder="1" applyAlignment="1">
      <alignment horizontal="center" vertical="center"/>
    </xf>
    <xf numFmtId="1" fontId="15" fillId="0" borderId="43" xfId="57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43" xfId="49" quotePrefix="1" applyFont="1" applyFill="1" applyBorder="1" applyAlignment="1">
      <alignment horizontal="center" vertical="center" justifyLastLine="1"/>
    </xf>
    <xf numFmtId="0" fontId="1" fillId="0" borderId="43" xfId="49" quotePrefix="1" applyFont="1" applyFill="1" applyBorder="1">
      <alignment horizontal="left" vertical="center" indent="1" justifyLastLine="1"/>
    </xf>
    <xf numFmtId="49" fontId="1" fillId="44" borderId="43" xfId="23" applyNumberFormat="1" applyFont="1" applyFill="1" applyBorder="1" applyAlignment="1">
      <alignment horizontal="center" vertical="center"/>
    </xf>
    <xf numFmtId="4" fontId="1" fillId="0" borderId="43" xfId="57" applyFont="1" applyFill="1" applyBorder="1">
      <alignment horizontal="right" vertical="center"/>
    </xf>
    <xf numFmtId="1" fontId="1" fillId="0" borderId="43" xfId="57" applyNumberFormat="1" applyFont="1" applyFill="1" applyBorder="1" applyAlignment="1">
      <alignment horizontal="center" vertical="center"/>
    </xf>
    <xf numFmtId="1" fontId="1" fillId="0" borderId="43" xfId="23" applyNumberFormat="1" applyFont="1" applyFill="1" applyBorder="1" applyAlignment="1">
      <alignment horizontal="center" vertical="center"/>
    </xf>
    <xf numFmtId="164" fontId="15" fillId="50" borderId="43" xfId="49" quotePrefix="1" applyNumberFormat="1" applyFont="1" applyFill="1" applyBorder="1" applyAlignment="1">
      <alignment horizontal="center" vertical="center" justifyLastLine="1"/>
    </xf>
    <xf numFmtId="0" fontId="15" fillId="50" borderId="43" xfId="49" applyFont="1" applyFill="1" applyBorder="1">
      <alignment horizontal="left" vertical="center" indent="1" justifyLastLine="1"/>
    </xf>
    <xf numFmtId="4" fontId="15" fillId="50" borderId="43" xfId="57" applyFont="1" applyFill="1" applyBorder="1">
      <alignment horizontal="right" vertical="center"/>
    </xf>
    <xf numFmtId="1" fontId="15" fillId="50" borderId="43" xfId="57" applyNumberFormat="1" applyFont="1" applyFill="1" applyBorder="1" applyAlignment="1">
      <alignment horizontal="center" vertical="center"/>
    </xf>
    <xf numFmtId="49" fontId="15" fillId="0" borderId="43" xfId="23" applyNumberFormat="1" applyFont="1" applyFill="1" applyBorder="1" applyAlignment="1">
      <alignment horizontal="center" vertical="center"/>
    </xf>
    <xf numFmtId="49" fontId="15" fillId="45" borderId="43" xfId="23" applyNumberFormat="1" applyFont="1" applyFill="1" applyBorder="1" applyAlignment="1">
      <alignment horizontal="center" vertical="center"/>
    </xf>
    <xf numFmtId="0" fontId="15" fillId="50" borderId="43" xfId="49" quotePrefix="1" applyFont="1" applyFill="1" applyBorder="1" applyAlignment="1">
      <alignment horizontal="center" vertical="center" justifyLastLine="1"/>
    </xf>
    <xf numFmtId="0" fontId="15" fillId="50" borderId="43" xfId="49" quotePrefix="1" applyFont="1" applyFill="1" applyBorder="1">
      <alignment horizontal="left" vertical="center" indent="1" justifyLastLine="1"/>
    </xf>
    <xf numFmtId="4" fontId="1" fillId="50" borderId="43" xfId="23" applyFont="1" applyFill="1" applyBorder="1">
      <alignment vertical="center"/>
    </xf>
    <xf numFmtId="0" fontId="15" fillId="0" borderId="52" xfId="49" quotePrefix="1" applyFont="1" applyFill="1" applyBorder="1">
      <alignment horizontal="left" vertical="center" indent="1" justifyLastLine="1"/>
    </xf>
    <xf numFmtId="49" fontId="15" fillId="0" borderId="53" xfId="23" applyNumberFormat="1" applyFont="1" applyFill="1" applyBorder="1" applyAlignment="1">
      <alignment horizontal="center" vertical="center"/>
    </xf>
    <xf numFmtId="4" fontId="15" fillId="0" borderId="53" xfId="57" applyNumberFormat="1" applyFont="1" applyFill="1" applyBorder="1">
      <alignment horizontal="right" vertical="center"/>
    </xf>
    <xf numFmtId="0" fontId="2" fillId="0" borderId="52" xfId="49" quotePrefix="1" applyFill="1" applyBorder="1" applyAlignment="1">
      <alignment horizontal="center" vertical="center" justifyLastLine="1"/>
    </xf>
    <xf numFmtId="0" fontId="2" fillId="0" borderId="53" xfId="49" quotePrefix="1" applyFill="1" applyBorder="1" applyAlignment="1">
      <alignment horizontal="center" vertical="center" justifyLastLine="1"/>
    </xf>
    <xf numFmtId="4" fontId="1" fillId="0" borderId="53" xfId="57" applyNumberFormat="1" applyFont="1" applyFill="1" applyBorder="1">
      <alignment horizontal="right" vertical="center"/>
    </xf>
    <xf numFmtId="4" fontId="35" fillId="0" borderId="53" xfId="57" applyNumberFormat="1" applyFont="1" applyFill="1" applyBorder="1">
      <alignment horizontal="right" vertical="center"/>
    </xf>
    <xf numFmtId="0" fontId="15" fillId="0" borderId="53" xfId="49" quotePrefix="1" applyFont="1" applyFill="1" applyBorder="1" applyAlignment="1">
      <alignment horizontal="center" vertical="center" justifyLastLine="1"/>
    </xf>
    <xf numFmtId="49" fontId="1" fillId="0" borderId="53" xfId="23" applyNumberFormat="1" applyFont="1" applyFill="1" applyBorder="1" applyAlignment="1">
      <alignment horizontal="center" vertical="center"/>
    </xf>
    <xf numFmtId="4" fontId="15" fillId="0" borderId="53" xfId="49" quotePrefix="1" applyNumberFormat="1" applyFont="1" applyFill="1" applyBorder="1" applyAlignment="1">
      <alignment horizontal="right" vertical="center" justifyLastLine="1"/>
    </xf>
    <xf numFmtId="4" fontId="15" fillId="0" borderId="53" xfId="23" applyNumberFormat="1" applyFont="1" applyFill="1" applyBorder="1">
      <alignment vertical="center"/>
    </xf>
    <xf numFmtId="4" fontId="35" fillId="45" borderId="53" xfId="57" applyNumberFormat="1" applyFont="1" applyFill="1" applyBorder="1">
      <alignment horizontal="right" vertical="center"/>
    </xf>
    <xf numFmtId="49" fontId="15" fillId="0" borderId="53" xfId="57" applyNumberFormat="1" applyFont="1" applyFill="1" applyBorder="1" applyAlignment="1">
      <alignment horizontal="center" vertical="center"/>
    </xf>
    <xf numFmtId="4" fontId="2" fillId="0" borderId="37" xfId="49" quotePrefix="1" applyNumberFormat="1" applyFill="1" applyBorder="1" applyAlignment="1">
      <alignment horizontal="right" vertical="center" justifyLastLine="1"/>
    </xf>
    <xf numFmtId="4" fontId="2" fillId="0" borderId="53" xfId="49" quotePrefix="1" applyNumberFormat="1" applyFill="1" applyBorder="1" applyAlignment="1">
      <alignment horizontal="right" vertical="center" justifyLastLine="1"/>
    </xf>
    <xf numFmtId="4" fontId="35" fillId="0" borderId="37" xfId="49" quotePrefix="1" applyNumberFormat="1" applyFont="1" applyFill="1" applyBorder="1" applyAlignment="1">
      <alignment horizontal="right" vertical="center" justifyLastLine="1"/>
    </xf>
    <xf numFmtId="4" fontId="1" fillId="0" borderId="37" xfId="57" applyNumberFormat="1" applyFont="1" applyFill="1" applyBorder="1">
      <alignment horizontal="right" vertical="center"/>
    </xf>
    <xf numFmtId="0" fontId="2" fillId="0" borderId="53" xfId="49" quotePrefix="1" applyFont="1" applyFill="1" applyBorder="1" applyAlignment="1">
      <alignment horizontal="center" vertical="center" justifyLastLine="1"/>
    </xf>
    <xf numFmtId="0" fontId="2" fillId="0" borderId="53" xfId="49" quotePrefix="1" applyFont="1" applyFill="1" applyBorder="1" applyAlignment="1">
      <alignment horizontal="left" vertical="center" indent="1" justifyLastLine="1"/>
    </xf>
    <xf numFmtId="49" fontId="2" fillId="0" borderId="53" xfId="57" applyNumberFormat="1" applyFill="1" applyBorder="1" applyAlignment="1">
      <alignment horizontal="center" vertical="center"/>
    </xf>
    <xf numFmtId="4" fontId="2" fillId="0" borderId="53" xfId="57" applyNumberFormat="1" applyFill="1" applyBorder="1">
      <alignment horizontal="right" vertical="center"/>
    </xf>
    <xf numFmtId="0" fontId="15" fillId="0" borderId="53" xfId="49" quotePrefix="1" applyFont="1" applyFill="1" applyBorder="1" applyAlignment="1">
      <alignment horizontal="left" vertical="center" indent="1" justifyLastLine="1"/>
    </xf>
    <xf numFmtId="0" fontId="1" fillId="0" borderId="53" xfId="49" quotePrefix="1" applyFont="1" applyFill="1" applyBorder="1">
      <alignment horizontal="left" vertical="center" indent="1" justifyLastLine="1"/>
    </xf>
    <xf numFmtId="0" fontId="1" fillId="0" borderId="53" xfId="49" quotePrefix="1" applyNumberFormat="1" applyFont="1" applyFill="1" applyBorder="1" applyAlignment="1">
      <alignment horizontal="center" vertical="center" justifyLastLine="1"/>
    </xf>
    <xf numFmtId="4" fontId="1" fillId="0" borderId="53" xfId="23" applyNumberFormat="1" applyFont="1" applyFill="1" applyBorder="1">
      <alignment vertical="center"/>
    </xf>
    <xf numFmtId="4" fontId="35" fillId="0" borderId="53" xfId="23" applyNumberFormat="1" applyFont="1" applyFill="1" applyBorder="1">
      <alignment vertical="center"/>
    </xf>
    <xf numFmtId="0" fontId="1" fillId="0" borderId="53" xfId="49" quotePrefix="1" applyFont="1" applyFill="1" applyBorder="1" applyAlignment="1">
      <alignment horizontal="center" vertical="center" justifyLastLine="1"/>
    </xf>
    <xf numFmtId="49" fontId="1" fillId="0" borderId="53" xfId="57" applyNumberFormat="1" applyFont="1" applyFill="1" applyBorder="1" applyAlignment="1">
      <alignment horizontal="center" vertical="center"/>
    </xf>
    <xf numFmtId="0" fontId="1" fillId="0" borderId="53" xfId="47" quotePrefix="1" applyFont="1" applyFill="1" applyBorder="1">
      <alignment horizontal="left" vertical="center" indent="1" justifyLastLine="1"/>
    </xf>
    <xf numFmtId="164" fontId="15" fillId="0" borderId="1" xfId="47" quotePrefix="1" applyNumberFormat="1" applyFont="1" applyFill="1" applyAlignment="1">
      <alignment horizontal="center" vertical="center" justifyLastLine="1"/>
    </xf>
    <xf numFmtId="0" fontId="15" fillId="0" borderId="1" xfId="47" quotePrefix="1" applyFont="1" applyFill="1">
      <alignment horizontal="left" vertical="center" indent="1" justifyLastLine="1"/>
    </xf>
    <xf numFmtId="0" fontId="1" fillId="0" borderId="1" xfId="47" quotePrefix="1" applyNumberFormat="1" applyFont="1" applyFill="1" applyAlignment="1">
      <alignment horizontal="center" vertical="center" justifyLastLine="1"/>
    </xf>
    <xf numFmtId="49" fontId="1" fillId="0" borderId="1" xfId="23" applyNumberFormat="1" applyFont="1" applyFill="1" applyAlignment="1">
      <alignment horizontal="center" vertical="center"/>
    </xf>
    <xf numFmtId="4" fontId="1" fillId="0" borderId="1" xfId="23" applyFont="1" applyFill="1" applyAlignment="1">
      <alignment horizontal="right" vertical="center"/>
    </xf>
    <xf numFmtId="4" fontId="1" fillId="0" borderId="1" xfId="23" applyNumberFormat="1" applyFont="1" applyFill="1">
      <alignment vertical="center"/>
    </xf>
    <xf numFmtId="0" fontId="1" fillId="0" borderId="1" xfId="47" quotePrefix="1" applyFont="1" applyFill="1">
      <alignment horizontal="left" vertical="center" indent="1" justifyLastLine="1"/>
    </xf>
    <xf numFmtId="0" fontId="1" fillId="45" borderId="53" xfId="49" quotePrefix="1" applyFont="1" applyFill="1" applyBorder="1" applyAlignment="1">
      <alignment horizontal="center" vertical="center" justifyLastLine="1"/>
    </xf>
    <xf numFmtId="49" fontId="1" fillId="45" borderId="53" xfId="57" applyNumberFormat="1" applyFont="1" applyFill="1" applyBorder="1" applyAlignment="1">
      <alignment horizontal="center" vertical="center"/>
    </xf>
    <xf numFmtId="4" fontId="1" fillId="45" borderId="53" xfId="57" applyNumberFormat="1" applyFont="1" applyFill="1" applyBorder="1">
      <alignment horizontal="right" vertical="center"/>
    </xf>
    <xf numFmtId="0" fontId="3" fillId="0" borderId="53" xfId="47" quotePrefix="1" applyFont="1" applyFill="1" applyBorder="1">
      <alignment horizontal="left" vertical="center" indent="1" justifyLastLine="1"/>
    </xf>
    <xf numFmtId="164" fontId="3" fillId="0" borderId="53" xfId="47" applyNumberFormat="1" applyFont="1" applyFill="1" applyBorder="1" applyAlignment="1">
      <alignment horizontal="center" vertical="center" justifyLastLine="1"/>
    </xf>
    <xf numFmtId="0" fontId="1" fillId="0" borderId="53" xfId="47" applyNumberFormat="1" applyFont="1" applyFill="1" applyBorder="1" applyAlignment="1">
      <alignment horizontal="center" vertical="center" justifyLastLine="1"/>
    </xf>
    <xf numFmtId="0" fontId="1" fillId="45" borderId="53" xfId="49" quotePrefix="1" applyFont="1" applyFill="1" applyBorder="1">
      <alignment horizontal="left" vertical="center" indent="1" justifyLastLine="1"/>
    </xf>
    <xf numFmtId="4" fontId="1" fillId="50" borderId="53" xfId="57" applyNumberFormat="1" applyFont="1" applyFill="1" applyBorder="1">
      <alignment horizontal="right" vertical="center"/>
    </xf>
    <xf numFmtId="3" fontId="1" fillId="50" borderId="53" xfId="57" applyNumberFormat="1" applyFont="1" applyFill="1" applyBorder="1" applyAlignment="1">
      <alignment horizontal="center" vertical="center"/>
    </xf>
    <xf numFmtId="4" fontId="15" fillId="0" borderId="19" xfId="57" applyNumberFormat="1" applyFont="1" applyFill="1" applyBorder="1" applyAlignment="1">
      <alignment horizontal="right" vertical="center"/>
    </xf>
    <xf numFmtId="0" fontId="1" fillId="0" borderId="50" xfId="49" applyFont="1" applyFill="1" applyBorder="1" applyAlignment="1">
      <alignment horizontal="left" vertical="center" wrapText="1" justifyLastLine="1"/>
    </xf>
    <xf numFmtId="164" fontId="15" fillId="0" borderId="52" xfId="47" quotePrefix="1" applyNumberFormat="1" applyFont="1" applyFill="1" applyBorder="1" applyAlignment="1">
      <alignment horizontal="center" vertical="center" justifyLastLine="1"/>
    </xf>
    <xf numFmtId="0" fontId="15" fillId="0" borderId="52" xfId="47" quotePrefix="1" applyFont="1" applyFill="1" applyBorder="1">
      <alignment horizontal="left" vertical="center" indent="1" justifyLastLine="1"/>
    </xf>
    <xf numFmtId="49" fontId="15" fillId="0" borderId="52" xfId="23" applyNumberFormat="1" applyFont="1" applyFill="1" applyBorder="1" applyAlignment="1">
      <alignment horizontal="center" vertical="center"/>
    </xf>
    <xf numFmtId="4" fontId="15" fillId="0" borderId="52" xfId="23" applyNumberFormat="1" applyFont="1" applyFill="1" applyBorder="1">
      <alignment vertical="center"/>
    </xf>
    <xf numFmtId="4" fontId="18" fillId="48" borderId="7" xfId="23" applyNumberFormat="1" applyFont="1" applyFill="1" applyBorder="1">
      <alignment vertical="center"/>
    </xf>
    <xf numFmtId="0" fontId="1" fillId="0" borderId="50" xfId="47" quotePrefix="1" applyNumberFormat="1" applyFont="1" applyFill="1" applyBorder="1" applyAlignment="1">
      <alignment horizontal="center" vertical="center" justifyLastLine="1"/>
    </xf>
    <xf numFmtId="0" fontId="1" fillId="0" borderId="50" xfId="47" quotePrefix="1" applyFont="1" applyFill="1" applyBorder="1">
      <alignment horizontal="left" vertical="center" indent="1" justifyLastLine="1"/>
    </xf>
    <xf numFmtId="4" fontId="19" fillId="0" borderId="50" xfId="23" applyNumberFormat="1" applyFont="1" applyFill="1" applyBorder="1">
      <alignment vertical="center"/>
    </xf>
    <xf numFmtId="0" fontId="1" fillId="0" borderId="50" xfId="49" quotePrefix="1" applyFont="1" applyFill="1" applyBorder="1" applyAlignment="1">
      <alignment horizontal="center" vertical="center" wrapText="1" justifyLastLine="1"/>
    </xf>
    <xf numFmtId="4" fontId="35" fillId="45" borderId="52" xfId="57" applyNumberFormat="1" applyFont="1" applyFill="1" applyBorder="1">
      <alignment horizontal="right" vertical="center"/>
    </xf>
    <xf numFmtId="4" fontId="35" fillId="45" borderId="7" xfId="57" applyNumberFormat="1" applyFont="1" applyFill="1" applyBorder="1">
      <alignment horizontal="right" vertical="center"/>
    </xf>
    <xf numFmtId="9" fontId="0" fillId="0" borderId="0" xfId="0" applyNumberFormat="1"/>
    <xf numFmtId="0" fontId="27" fillId="0" borderId="50" xfId="49" quotePrefix="1" applyFont="1" applyFill="1" applyBorder="1" applyAlignment="1">
      <alignment horizontal="center" vertical="center" justifyLastLine="1"/>
    </xf>
    <xf numFmtId="0" fontId="27" fillId="0" borderId="50" xfId="49" quotePrefix="1" applyFont="1" applyFill="1" applyBorder="1">
      <alignment horizontal="left" vertical="center" indent="1" justifyLastLine="1"/>
    </xf>
    <xf numFmtId="43" fontId="46" fillId="0" borderId="0" xfId="65" applyFont="1"/>
    <xf numFmtId="0" fontId="34" fillId="0" borderId="50" xfId="49" quotePrefix="1" applyFont="1" applyFill="1" applyBorder="1" applyAlignment="1">
      <alignment horizontal="center" vertical="center" justifyLastLine="1"/>
    </xf>
    <xf numFmtId="4" fontId="15" fillId="0" borderId="50" xfId="57" applyNumberFormat="1" applyFont="1" applyFill="1" applyBorder="1" applyAlignment="1">
      <alignment horizontal="center" vertical="center"/>
    </xf>
    <xf numFmtId="0" fontId="34" fillId="0" borderId="50" xfId="49" quotePrefix="1" applyFont="1" applyFill="1" applyBorder="1" applyAlignment="1">
      <alignment horizontal="left" vertical="center" indent="1" justifyLastLine="1"/>
    </xf>
    <xf numFmtId="3" fontId="42" fillId="0" borderId="0" xfId="0" applyNumberFormat="1" applyFont="1"/>
    <xf numFmtId="49" fontId="21" fillId="0" borderId="0" xfId="0" applyNumberFormat="1" applyFont="1" applyAlignment="1">
      <alignment horizontal="right" vertical="center"/>
    </xf>
    <xf numFmtId="4" fontId="1" fillId="50" borderId="50" xfId="57" applyNumberFormat="1" applyFont="1" applyFill="1" applyBorder="1">
      <alignment horizontal="right" vertical="center"/>
    </xf>
    <xf numFmtId="0" fontId="35" fillId="0" borderId="50" xfId="0" applyFont="1" applyBorder="1"/>
    <xf numFmtId="4" fontId="1" fillId="0" borderId="50" xfId="0" applyNumberFormat="1" applyFont="1" applyFill="1" applyBorder="1"/>
    <xf numFmtId="4" fontId="35" fillId="0" borderId="50" xfId="0" applyNumberFormat="1" applyFont="1" applyBorder="1"/>
    <xf numFmtId="164" fontId="15" fillId="0" borderId="52" xfId="49" quotePrefix="1" applyNumberFormat="1" applyFont="1" applyFill="1" applyBorder="1" applyAlignment="1">
      <alignment horizontal="center" vertical="center" justifyLastLine="1"/>
    </xf>
    <xf numFmtId="3" fontId="15" fillId="0" borderId="52" xfId="23" applyNumberFormat="1" applyFont="1" applyFill="1" applyBorder="1" applyAlignment="1">
      <alignment horizontal="center" vertical="center"/>
    </xf>
    <xf numFmtId="4" fontId="19" fillId="0" borderId="52" xfId="23" applyNumberFormat="1" applyFont="1" applyFill="1" applyBorder="1">
      <alignment vertical="center"/>
    </xf>
    <xf numFmtId="0" fontId="27" fillId="0" borderId="57" xfId="49" quotePrefix="1" applyFont="1" applyFill="1" applyBorder="1" applyAlignment="1">
      <alignment horizontal="center" vertical="center" justifyLastLine="1"/>
    </xf>
    <xf numFmtId="0" fontId="2" fillId="0" borderId="58" xfId="49" quotePrefix="1" applyFill="1" applyBorder="1">
      <alignment horizontal="left" vertical="center" indent="1" justifyLastLine="1"/>
    </xf>
    <xf numFmtId="49" fontId="2" fillId="0" borderId="58" xfId="57" applyNumberFormat="1" applyFill="1" applyBorder="1" applyAlignment="1">
      <alignment horizontal="center" vertical="center"/>
    </xf>
    <xf numFmtId="3" fontId="2" fillId="0" borderId="58" xfId="57" applyNumberFormat="1" applyFill="1" applyBorder="1" applyAlignment="1">
      <alignment horizontal="center" vertical="center"/>
    </xf>
    <xf numFmtId="4" fontId="27" fillId="0" borderId="58" xfId="57" applyNumberFormat="1" applyFont="1" applyFill="1" applyBorder="1">
      <alignment horizontal="right" vertical="center"/>
    </xf>
    <xf numFmtId="4" fontId="19" fillId="52" borderId="37" xfId="23" applyNumberFormat="1" applyFont="1" applyFill="1" applyBorder="1" applyAlignment="1">
      <alignment horizontal="center" vertical="center"/>
    </xf>
    <xf numFmtId="4" fontId="19" fillId="52" borderId="37" xfId="23" applyNumberFormat="1" applyFont="1" applyFill="1" applyBorder="1" applyAlignment="1">
      <alignment horizontal="left" vertical="center"/>
    </xf>
    <xf numFmtId="0" fontId="15" fillId="45" borderId="53" xfId="49" quotePrefix="1" applyFont="1" applyFill="1" applyBorder="1" applyAlignment="1">
      <alignment horizontal="center" vertical="center" justifyLastLine="1"/>
    </xf>
    <xf numFmtId="0" fontId="15" fillId="45" borderId="53" xfId="49" quotePrefix="1" applyFont="1" applyFill="1" applyBorder="1">
      <alignment horizontal="left" vertical="center" indent="1" justifyLastLine="1"/>
    </xf>
    <xf numFmtId="49" fontId="15" fillId="45" borderId="53" xfId="57" applyNumberFormat="1" applyFont="1" applyFill="1" applyBorder="1" applyAlignment="1">
      <alignment horizontal="center" vertical="center"/>
    </xf>
    <xf numFmtId="4" fontId="15" fillId="45" borderId="53" xfId="57" applyNumberFormat="1" applyFont="1" applyFill="1" applyBorder="1">
      <alignment horizontal="right" vertical="center"/>
    </xf>
    <xf numFmtId="4" fontId="34" fillId="0" borderId="0" xfId="0" applyNumberFormat="1" applyFont="1"/>
    <xf numFmtId="4" fontId="35" fillId="50" borderId="53" xfId="57" applyNumberFormat="1" applyFont="1" applyFill="1" applyBorder="1">
      <alignment horizontal="right" vertical="center"/>
    </xf>
    <xf numFmtId="0" fontId="2" fillId="50" borderId="37" xfId="49" quotePrefix="1" applyFont="1" applyFill="1" applyBorder="1" applyAlignment="1">
      <alignment horizontal="center" vertical="center" justifyLastLine="1"/>
    </xf>
    <xf numFmtId="0" fontId="2" fillId="50" borderId="37" xfId="49" applyFont="1" applyFill="1" applyBorder="1" applyAlignment="1">
      <alignment horizontal="left" vertical="center" indent="1" justifyLastLine="1"/>
    </xf>
    <xf numFmtId="0" fontId="2" fillId="0" borderId="37" xfId="49" applyFill="1" applyBorder="1">
      <alignment horizontal="left" vertical="center" indent="1" justifyLastLine="1"/>
    </xf>
    <xf numFmtId="164" fontId="1" fillId="0" borderId="52" xfId="47" applyNumberFormat="1" applyFont="1" applyFill="1" applyBorder="1" applyAlignment="1">
      <alignment horizontal="center" vertical="center" justifyLastLine="1"/>
    </xf>
    <xf numFmtId="0" fontId="1" fillId="0" borderId="52" xfId="47" applyFont="1" applyFill="1" applyBorder="1">
      <alignment horizontal="left" vertical="center" indent="1" justifyLastLine="1"/>
    </xf>
    <xf numFmtId="49" fontId="1" fillId="0" borderId="52" xfId="23" applyNumberFormat="1" applyFont="1" applyFill="1" applyBorder="1" applyAlignment="1">
      <alignment horizontal="center" vertical="center"/>
    </xf>
    <xf numFmtId="4" fontId="1" fillId="0" borderId="52" xfId="23" applyNumberFormat="1" applyFont="1" applyFill="1" applyBorder="1">
      <alignment vertical="center"/>
    </xf>
    <xf numFmtId="0" fontId="15" fillId="0" borderId="37" xfId="49" applyFont="1" applyFill="1" applyBorder="1" applyAlignment="1">
      <alignment horizontal="left" vertical="center" indent="1" justifyLastLine="1"/>
    </xf>
    <xf numFmtId="3" fontId="15" fillId="46" borderId="53" xfId="23" applyNumberFormat="1" applyFont="1" applyFill="1" applyBorder="1" applyAlignment="1">
      <alignment horizontal="center" vertical="center"/>
    </xf>
    <xf numFmtId="4" fontId="15" fillId="46" borderId="53" xfId="23" applyNumberFormat="1" applyFont="1" applyFill="1" applyBorder="1">
      <alignment vertical="center"/>
    </xf>
    <xf numFmtId="1" fontId="2" fillId="0" borderId="53" xfId="49" quotePrefix="1" applyNumberFormat="1" applyFill="1" applyBorder="1" applyAlignment="1">
      <alignment horizontal="center" vertical="center" justifyLastLine="1"/>
    </xf>
    <xf numFmtId="0" fontId="1" fillId="0" borderId="53" xfId="49" applyFont="1" applyFill="1" applyBorder="1">
      <alignment horizontal="left" vertical="center" indent="1" justifyLastLine="1"/>
    </xf>
    <xf numFmtId="3" fontId="2" fillId="0" borderId="53" xfId="49" quotePrefix="1" applyNumberFormat="1" applyFill="1" applyBorder="1" applyAlignment="1">
      <alignment horizontal="center" vertical="center" justifyLastLine="1"/>
    </xf>
    <xf numFmtId="0" fontId="2" fillId="0" borderId="53" xfId="49" applyFill="1" applyBorder="1">
      <alignment horizontal="left" vertical="center" indent="1" justifyLastLine="1"/>
    </xf>
    <xf numFmtId="4" fontId="2" fillId="0" borderId="53" xfId="49" quotePrefix="1" applyNumberFormat="1" applyFont="1" applyFill="1" applyBorder="1" applyAlignment="1">
      <alignment horizontal="right" vertical="center" justifyLastLine="1"/>
    </xf>
    <xf numFmtId="4" fontId="17" fillId="0" borderId="0" xfId="0" applyNumberFormat="1" applyFont="1"/>
    <xf numFmtId="0" fontId="1" fillId="45" borderId="53" xfId="49" applyFont="1" applyFill="1" applyBorder="1">
      <alignment horizontal="left" vertical="center" indent="1" justifyLastLine="1"/>
    </xf>
    <xf numFmtId="0" fontId="15" fillId="45" borderId="53" xfId="49" applyFont="1" applyFill="1" applyBorder="1">
      <alignment horizontal="left" vertical="center" indent="1" justifyLastLine="1"/>
    </xf>
    <xf numFmtId="0" fontId="2" fillId="45" borderId="37" xfId="49" applyFont="1" applyFill="1" applyBorder="1" applyAlignment="1">
      <alignment horizontal="left" vertical="center" indent="1" justifyLastLine="1"/>
    </xf>
    <xf numFmtId="0" fontId="2" fillId="45" borderId="37" xfId="49" applyFill="1" applyBorder="1">
      <alignment horizontal="left" vertical="center" indent="1" justifyLastLine="1"/>
    </xf>
    <xf numFmtId="0" fontId="1" fillId="47" borderId="19" xfId="49" quotePrefix="1" applyFont="1" applyFill="1" applyBorder="1" applyAlignment="1">
      <alignment horizontal="center" vertical="center" justifyLastLine="1"/>
    </xf>
    <xf numFmtId="0" fontId="1" fillId="47" borderId="19" xfId="49" quotePrefix="1" applyFont="1" applyFill="1" applyBorder="1">
      <alignment horizontal="left" vertical="center" indent="1" justifyLastLine="1"/>
    </xf>
    <xf numFmtId="49" fontId="1" fillId="47" borderId="19" xfId="57" applyNumberFormat="1" applyFont="1" applyFill="1" applyBorder="1" applyAlignment="1">
      <alignment horizontal="center" vertical="center"/>
    </xf>
    <xf numFmtId="4" fontId="1" fillId="47" borderId="19" xfId="57" applyNumberFormat="1" applyFont="1" applyFill="1" applyBorder="1">
      <alignment horizontal="right" vertical="center"/>
    </xf>
    <xf numFmtId="4" fontId="35" fillId="47" borderId="19" xfId="57" applyNumberFormat="1" applyFont="1" applyFill="1" applyBorder="1">
      <alignment horizontal="right" vertical="center"/>
    </xf>
    <xf numFmtId="4" fontId="22" fillId="46" borderId="53" xfId="23" applyNumberFormat="1" applyFont="1" applyFill="1" applyBorder="1">
      <alignment vertical="center"/>
    </xf>
    <xf numFmtId="49" fontId="22" fillId="46" borderId="53" xfId="23" applyNumberFormat="1" applyFont="1" applyFill="1" applyBorder="1" applyAlignment="1">
      <alignment horizontal="center" vertical="center"/>
    </xf>
    <xf numFmtId="4" fontId="22" fillId="46" borderId="53" xfId="23" applyNumberFormat="1" applyFont="1" applyFill="1" applyBorder="1" applyAlignment="1">
      <alignment horizontal="right" vertical="center"/>
    </xf>
    <xf numFmtId="49" fontId="47" fillId="46" borderId="50" xfId="23" applyNumberFormat="1" applyFont="1" applyFill="1" applyBorder="1" applyAlignment="1">
      <alignment horizontal="center" vertical="center"/>
    </xf>
    <xf numFmtId="4" fontId="47" fillId="46" borderId="50" xfId="23" applyNumberFormat="1" applyFont="1" applyFill="1" applyBorder="1">
      <alignment vertical="center"/>
    </xf>
    <xf numFmtId="0" fontId="34" fillId="0" borderId="50" xfId="49" quotePrefix="1" applyFont="1" applyFill="1" applyBorder="1">
      <alignment horizontal="left" vertical="center" indent="1" justifyLastLine="1"/>
    </xf>
    <xf numFmtId="4" fontId="15" fillId="0" borderId="59" xfId="23" applyNumberFormat="1" applyFont="1" applyFill="1" applyBorder="1">
      <alignment vertical="center"/>
    </xf>
    <xf numFmtId="0" fontId="0" fillId="0" borderId="0" xfId="0" applyBorder="1"/>
    <xf numFmtId="4" fontId="1" fillId="0" borderId="59" xfId="23" applyNumberFormat="1" applyFont="1" applyFill="1" applyBorder="1">
      <alignment vertical="center"/>
    </xf>
    <xf numFmtId="3" fontId="42" fillId="0" borderId="35" xfId="0" applyNumberFormat="1" applyFont="1" applyBorder="1" applyAlignment="1">
      <alignment vertical="center"/>
    </xf>
    <xf numFmtId="3" fontId="42" fillId="0" borderId="22" xfId="0" applyNumberFormat="1" applyFont="1" applyBorder="1" applyAlignment="1">
      <alignment vertical="center"/>
    </xf>
    <xf numFmtId="0" fontId="2" fillId="45" borderId="50" xfId="49" quotePrefix="1" applyFont="1" applyFill="1" applyBorder="1">
      <alignment horizontal="left" vertical="center" indent="1" justifyLastLine="1"/>
    </xf>
    <xf numFmtId="49" fontId="1" fillId="45" borderId="50" xfId="23" applyNumberFormat="1" applyFont="1" applyFill="1" applyBorder="1" applyAlignment="1">
      <alignment horizontal="center" vertical="center"/>
    </xf>
    <xf numFmtId="4" fontId="2" fillId="45" borderId="50" xfId="57" applyNumberFormat="1" applyFont="1" applyFill="1" applyBorder="1">
      <alignment horizontal="right" vertical="center"/>
    </xf>
    <xf numFmtId="49" fontId="2" fillId="45" borderId="50" xfId="57" applyNumberFormat="1" applyFont="1" applyFill="1" applyBorder="1" applyAlignment="1">
      <alignment horizontal="center" vertical="center"/>
    </xf>
    <xf numFmtId="4" fontId="1" fillId="45" borderId="50" xfId="57" applyNumberFormat="1" applyFont="1" applyFill="1" applyBorder="1">
      <alignment horizontal="right" vertical="center"/>
    </xf>
    <xf numFmtId="4" fontId="34" fillId="45" borderId="19" xfId="57" applyNumberFormat="1" applyFont="1" applyFill="1" applyBorder="1">
      <alignment horizontal="right" vertical="center"/>
    </xf>
    <xf numFmtId="0" fontId="15" fillId="45" borderId="53" xfId="49" quotePrefix="1" applyFont="1" applyFill="1" applyBorder="1" applyAlignment="1">
      <alignment horizontal="left" vertical="center" justifyLastLine="1"/>
    </xf>
    <xf numFmtId="49" fontId="1" fillId="50" borderId="53" xfId="57" applyNumberFormat="1" applyFont="1" applyFill="1" applyBorder="1" applyAlignment="1">
      <alignment horizontal="center" vertical="center"/>
    </xf>
    <xf numFmtId="3" fontId="33" fillId="46" borderId="53" xfId="23" applyNumberFormat="1" applyFont="1" applyFill="1" applyBorder="1" applyAlignment="1">
      <alignment horizontal="center" vertical="center"/>
    </xf>
    <xf numFmtId="4" fontId="33" fillId="46" borderId="53" xfId="23" applyNumberFormat="1" applyFont="1" applyFill="1" applyBorder="1">
      <alignment vertical="center"/>
    </xf>
    <xf numFmtId="0" fontId="34" fillId="0" borderId="1" xfId="49" quotePrefix="1" applyFont="1" applyFill="1" applyAlignment="1">
      <alignment horizontal="left" vertical="center" indent="1" justifyLastLine="1"/>
    </xf>
    <xf numFmtId="4" fontId="34" fillId="50" borderId="53" xfId="57" applyNumberFormat="1" applyFont="1" applyFill="1" applyBorder="1">
      <alignment horizontal="right" vertical="center"/>
    </xf>
    <xf numFmtId="49" fontId="15" fillId="50" borderId="53" xfId="57" applyNumberFormat="1" applyFont="1" applyFill="1" applyBorder="1" applyAlignment="1">
      <alignment horizontal="center" vertical="center"/>
    </xf>
    <xf numFmtId="4" fontId="15" fillId="50" borderId="53" xfId="57" applyNumberFormat="1" applyFont="1" applyFill="1" applyBorder="1">
      <alignment horizontal="right" vertical="center"/>
    </xf>
    <xf numFmtId="4" fontId="15" fillId="52" borderId="37" xfId="23" applyNumberFormat="1" applyFont="1" applyFill="1" applyBorder="1" applyAlignment="1">
      <alignment horizontal="center" vertical="center"/>
    </xf>
    <xf numFmtId="4" fontId="34" fillId="0" borderId="50" xfId="57" applyNumberFormat="1" applyFont="1" applyFill="1" applyBorder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38" fillId="48" borderId="54" xfId="0" applyFont="1" applyFill="1" applyBorder="1" applyAlignment="1">
      <alignment horizontal="left" vertical="center" wrapText="1"/>
    </xf>
    <xf numFmtId="0" fontId="38" fillId="48" borderId="55" xfId="0" applyFont="1" applyFill="1" applyBorder="1" applyAlignment="1">
      <alignment horizontal="left" vertical="center" wrapText="1"/>
    </xf>
    <xf numFmtId="0" fontId="38" fillId="48" borderId="56" xfId="0" applyFont="1" applyFill="1" applyBorder="1" applyAlignment="1">
      <alignment horizontal="left" vertical="center" wrapText="1"/>
    </xf>
    <xf numFmtId="0" fontId="38" fillId="48" borderId="26" xfId="0" applyFont="1" applyFill="1" applyBorder="1" applyAlignment="1">
      <alignment horizontal="left" vertical="center" wrapText="1"/>
    </xf>
    <xf numFmtId="0" fontId="38" fillId="48" borderId="0" xfId="0" applyFont="1" applyFill="1" applyBorder="1" applyAlignment="1">
      <alignment horizontal="left" vertical="center" wrapText="1"/>
    </xf>
    <xf numFmtId="0" fontId="35" fillId="48" borderId="27" xfId="0" applyFont="1" applyFill="1" applyBorder="1" applyAlignment="1">
      <alignment vertical="center" wrapText="1"/>
    </xf>
    <xf numFmtId="0" fontId="16" fillId="48" borderId="41" xfId="45" quotePrefix="1" applyFont="1" applyFill="1" applyBorder="1" applyAlignment="1">
      <alignment horizontal="center" vertical="center" wrapText="1" justifyLastLine="1"/>
    </xf>
    <xf numFmtId="0" fontId="16" fillId="48" borderId="42" xfId="45" quotePrefix="1" applyFont="1" applyFill="1" applyBorder="1" applyAlignment="1">
      <alignment horizontal="center" vertical="center" wrapText="1" justifyLastLine="1"/>
    </xf>
    <xf numFmtId="164" fontId="16" fillId="46" borderId="24" xfId="45" quotePrefix="1" applyNumberFormat="1" applyFont="1" applyFill="1" applyBorder="1" applyAlignment="1">
      <alignment horizontal="center" vertical="center" justifyLastLine="1"/>
    </xf>
    <xf numFmtId="164" fontId="16" fillId="46" borderId="29" xfId="45" quotePrefix="1" applyNumberFormat="1" applyFont="1" applyFill="1" applyBorder="1" applyAlignment="1">
      <alignment horizontal="center" vertical="center" justifyLastLine="1"/>
    </xf>
    <xf numFmtId="164" fontId="16" fillId="46" borderId="0" xfId="45" quotePrefix="1" applyNumberFormat="1" applyFont="1" applyFill="1" applyBorder="1" applyAlignment="1">
      <alignment horizontal="center" vertical="center" justifyLastLine="1"/>
    </xf>
    <xf numFmtId="164" fontId="16" fillId="46" borderId="27" xfId="45" quotePrefix="1" applyNumberFormat="1" applyFont="1" applyFill="1" applyBorder="1" applyAlignment="1">
      <alignment horizontal="center" vertical="center" justifyLastLine="1"/>
    </xf>
    <xf numFmtId="0" fontId="38" fillId="48" borderId="12" xfId="0" applyFont="1" applyFill="1" applyBorder="1" applyAlignment="1">
      <alignment horizontal="left" vertical="center" wrapText="1"/>
    </xf>
    <xf numFmtId="0" fontId="38" fillId="48" borderId="14" xfId="0" applyFont="1" applyFill="1" applyBorder="1" applyAlignment="1">
      <alignment horizontal="left" vertical="center" wrapText="1"/>
    </xf>
    <xf numFmtId="0" fontId="35" fillId="48" borderId="13" xfId="0" applyFont="1" applyFill="1" applyBorder="1" applyAlignment="1">
      <alignment wrapText="1"/>
    </xf>
    <xf numFmtId="0" fontId="38" fillId="48" borderId="26" xfId="0" applyFont="1" applyFill="1" applyBorder="1" applyAlignment="1">
      <alignment horizontal="left" vertical="center"/>
    </xf>
    <xf numFmtId="0" fontId="38" fillId="48" borderId="0" xfId="0" applyFont="1" applyFill="1" applyBorder="1" applyAlignment="1">
      <alignment horizontal="left" vertical="center"/>
    </xf>
    <xf numFmtId="0" fontId="35" fillId="48" borderId="27" xfId="0" applyFont="1" applyFill="1" applyBorder="1" applyAlignment="1">
      <alignment vertical="center"/>
    </xf>
    <xf numFmtId="164" fontId="16" fillId="48" borderId="9" xfId="45" quotePrefix="1" applyNumberFormat="1" applyFont="1" applyFill="1" applyBorder="1" applyAlignment="1">
      <alignment horizontal="left" vertical="center"/>
    </xf>
    <xf numFmtId="164" fontId="16" fillId="48" borderId="18" xfId="45" quotePrefix="1" applyNumberFormat="1" applyFont="1" applyFill="1" applyBorder="1" applyAlignment="1">
      <alignment horizontal="left" vertical="center"/>
    </xf>
    <xf numFmtId="164" fontId="16" fillId="48" borderId="44" xfId="45" quotePrefix="1" applyNumberFormat="1" applyFont="1" applyFill="1" applyBorder="1" applyAlignment="1">
      <alignment horizontal="left" vertical="center"/>
    </xf>
    <xf numFmtId="164" fontId="16" fillId="48" borderId="39" xfId="45" quotePrefix="1" applyNumberFormat="1" applyFont="1" applyFill="1" applyBorder="1" applyAlignment="1">
      <alignment horizontal="left" vertical="center"/>
    </xf>
    <xf numFmtId="164" fontId="16" fillId="46" borderId="32" xfId="45" quotePrefix="1" applyNumberFormat="1" applyFont="1" applyFill="1" applyBorder="1" applyAlignment="1">
      <alignment horizontal="center" vertical="center" justifyLastLine="1"/>
    </xf>
    <xf numFmtId="164" fontId="16" fillId="46" borderId="33" xfId="45" quotePrefix="1" applyNumberFormat="1" applyFont="1" applyFill="1" applyBorder="1" applyAlignment="1">
      <alignment horizontal="center" vertical="center" justifyLastLine="1"/>
    </xf>
    <xf numFmtId="0" fontId="16" fillId="48" borderId="50" xfId="45" applyFont="1" applyFill="1" applyBorder="1" applyAlignment="1">
      <alignment horizontal="center" vertical="center" wrapText="1" justifyLastLine="1"/>
    </xf>
    <xf numFmtId="0" fontId="16" fillId="48" borderId="50" xfId="45" quotePrefix="1" applyFont="1" applyFill="1" applyBorder="1" applyAlignment="1">
      <alignment horizontal="center" vertical="center" wrapText="1" justifyLastLine="1"/>
    </xf>
    <xf numFmtId="164" fontId="16" fillId="46" borderId="50" xfId="45" quotePrefix="1" applyNumberFormat="1" applyFont="1" applyFill="1" applyBorder="1" applyAlignment="1">
      <alignment horizontal="center" vertical="center" justifyLastLine="1"/>
    </xf>
    <xf numFmtId="0" fontId="39" fillId="48" borderId="50" xfId="0" applyFont="1" applyFill="1" applyBorder="1" applyAlignment="1">
      <alignment horizontal="left" vertical="center" wrapText="1"/>
    </xf>
    <xf numFmtId="0" fontId="40" fillId="48" borderId="50" xfId="0" applyFont="1" applyFill="1" applyBorder="1" applyAlignment="1">
      <alignment vertical="center" wrapText="1"/>
    </xf>
    <xf numFmtId="0" fontId="16" fillId="48" borderId="46" xfId="45" applyFont="1" applyFill="1" applyBorder="1" applyAlignment="1">
      <alignment horizontal="center" vertical="center" wrapText="1" justifyLastLine="1"/>
    </xf>
    <xf numFmtId="0" fontId="16" fillId="48" borderId="47" xfId="45" quotePrefix="1" applyFont="1" applyFill="1" applyBorder="1" applyAlignment="1">
      <alignment horizontal="center" vertical="center" wrapText="1" justifyLastLine="1"/>
    </xf>
    <xf numFmtId="0" fontId="45" fillId="48" borderId="51" xfId="0" applyFont="1" applyFill="1" applyBorder="1" applyAlignment="1">
      <alignment horizontal="left" vertical="center" wrapText="1"/>
    </xf>
    <xf numFmtId="0" fontId="45" fillId="48" borderId="32" xfId="0" applyFont="1" applyFill="1" applyBorder="1" applyAlignment="1">
      <alignment horizontal="left" vertical="center" wrapText="1"/>
    </xf>
    <xf numFmtId="0" fontId="45" fillId="48" borderId="33" xfId="0" applyFont="1" applyFill="1" applyBorder="1" applyAlignment="1">
      <alignment horizontal="left" vertical="center" wrapText="1"/>
    </xf>
  </cellXfs>
  <cellStyles count="66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 2" xfId="1"/>
    <cellStyle name="Normalno" xfId="0" builtinId="0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inputData" xfId="51"/>
    <cellStyle name="SAPBEXItemHeader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assignedItem" xfId="62"/>
    <cellStyle name="SAPBEXundefined" xfId="63"/>
    <cellStyle name="Sheet Title" xfId="64"/>
    <cellStyle name="Zarez" xfId="65" builtinId="3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abSelected="1" view="pageBreakPreview" zoomScaleNormal="100" zoomScaleSheetLayoutView="100" workbookViewId="0">
      <selection activeCell="A45" sqref="A45"/>
    </sheetView>
  </sheetViews>
  <sheetFormatPr defaultRowHeight="14.25"/>
  <cols>
    <col min="1" max="1" width="11.140625" style="132" customWidth="1"/>
    <col min="2" max="256" width="9.140625" style="132"/>
    <col min="257" max="257" width="11.140625" style="132" customWidth="1"/>
    <col min="258" max="512" width="9.140625" style="132"/>
    <col min="513" max="513" width="11.140625" style="132" customWidth="1"/>
    <col min="514" max="768" width="9.140625" style="132"/>
    <col min="769" max="769" width="11.140625" style="132" customWidth="1"/>
    <col min="770" max="1024" width="9.140625" style="132"/>
    <col min="1025" max="1025" width="11.140625" style="132" customWidth="1"/>
    <col min="1026" max="1280" width="9.140625" style="132"/>
    <col min="1281" max="1281" width="11.140625" style="132" customWidth="1"/>
    <col min="1282" max="1536" width="9.140625" style="132"/>
    <col min="1537" max="1537" width="11.140625" style="132" customWidth="1"/>
    <col min="1538" max="1792" width="9.140625" style="132"/>
    <col min="1793" max="1793" width="11.140625" style="132" customWidth="1"/>
    <col min="1794" max="2048" width="9.140625" style="132"/>
    <col min="2049" max="2049" width="11.140625" style="132" customWidth="1"/>
    <col min="2050" max="2304" width="9.140625" style="132"/>
    <col min="2305" max="2305" width="11.140625" style="132" customWidth="1"/>
    <col min="2306" max="2560" width="9.140625" style="132"/>
    <col min="2561" max="2561" width="11.140625" style="132" customWidth="1"/>
    <col min="2562" max="2816" width="9.140625" style="132"/>
    <col min="2817" max="2817" width="11.140625" style="132" customWidth="1"/>
    <col min="2818" max="3072" width="9.140625" style="132"/>
    <col min="3073" max="3073" width="11.140625" style="132" customWidth="1"/>
    <col min="3074" max="3328" width="9.140625" style="132"/>
    <col min="3329" max="3329" width="11.140625" style="132" customWidth="1"/>
    <col min="3330" max="3584" width="9.140625" style="132"/>
    <col min="3585" max="3585" width="11.140625" style="132" customWidth="1"/>
    <col min="3586" max="3840" width="9.140625" style="132"/>
    <col min="3841" max="3841" width="11.140625" style="132" customWidth="1"/>
    <col min="3842" max="4096" width="9.140625" style="132"/>
    <col min="4097" max="4097" width="11.140625" style="132" customWidth="1"/>
    <col min="4098" max="4352" width="9.140625" style="132"/>
    <col min="4353" max="4353" width="11.140625" style="132" customWidth="1"/>
    <col min="4354" max="4608" width="9.140625" style="132"/>
    <col min="4609" max="4609" width="11.140625" style="132" customWidth="1"/>
    <col min="4610" max="4864" width="9.140625" style="132"/>
    <col min="4865" max="4865" width="11.140625" style="132" customWidth="1"/>
    <col min="4866" max="5120" width="9.140625" style="132"/>
    <col min="5121" max="5121" width="11.140625" style="132" customWidth="1"/>
    <col min="5122" max="5376" width="9.140625" style="132"/>
    <col min="5377" max="5377" width="11.140625" style="132" customWidth="1"/>
    <col min="5378" max="5632" width="9.140625" style="132"/>
    <col min="5633" max="5633" width="11.140625" style="132" customWidth="1"/>
    <col min="5634" max="5888" width="9.140625" style="132"/>
    <col min="5889" max="5889" width="11.140625" style="132" customWidth="1"/>
    <col min="5890" max="6144" width="9.140625" style="132"/>
    <col min="6145" max="6145" width="11.140625" style="132" customWidth="1"/>
    <col min="6146" max="6400" width="9.140625" style="132"/>
    <col min="6401" max="6401" width="11.140625" style="132" customWidth="1"/>
    <col min="6402" max="6656" width="9.140625" style="132"/>
    <col min="6657" max="6657" width="11.140625" style="132" customWidth="1"/>
    <col min="6658" max="6912" width="9.140625" style="132"/>
    <col min="6913" max="6913" width="11.140625" style="132" customWidth="1"/>
    <col min="6914" max="7168" width="9.140625" style="132"/>
    <col min="7169" max="7169" width="11.140625" style="132" customWidth="1"/>
    <col min="7170" max="7424" width="9.140625" style="132"/>
    <col min="7425" max="7425" width="11.140625" style="132" customWidth="1"/>
    <col min="7426" max="7680" width="9.140625" style="132"/>
    <col min="7681" max="7681" width="11.140625" style="132" customWidth="1"/>
    <col min="7682" max="7936" width="9.140625" style="132"/>
    <col min="7937" max="7937" width="11.140625" style="132" customWidth="1"/>
    <col min="7938" max="8192" width="9.140625" style="132"/>
    <col min="8193" max="8193" width="11.140625" style="132" customWidth="1"/>
    <col min="8194" max="8448" width="9.140625" style="132"/>
    <col min="8449" max="8449" width="11.140625" style="132" customWidth="1"/>
    <col min="8450" max="8704" width="9.140625" style="132"/>
    <col min="8705" max="8705" width="11.140625" style="132" customWidth="1"/>
    <col min="8706" max="8960" width="9.140625" style="132"/>
    <col min="8961" max="8961" width="11.140625" style="132" customWidth="1"/>
    <col min="8962" max="9216" width="9.140625" style="132"/>
    <col min="9217" max="9217" width="11.140625" style="132" customWidth="1"/>
    <col min="9218" max="9472" width="9.140625" style="132"/>
    <col min="9473" max="9473" width="11.140625" style="132" customWidth="1"/>
    <col min="9474" max="9728" width="9.140625" style="132"/>
    <col min="9729" max="9729" width="11.140625" style="132" customWidth="1"/>
    <col min="9730" max="9984" width="9.140625" style="132"/>
    <col min="9985" max="9985" width="11.140625" style="132" customWidth="1"/>
    <col min="9986" max="10240" width="9.140625" style="132"/>
    <col min="10241" max="10241" width="11.140625" style="132" customWidth="1"/>
    <col min="10242" max="10496" width="9.140625" style="132"/>
    <col min="10497" max="10497" width="11.140625" style="132" customWidth="1"/>
    <col min="10498" max="10752" width="9.140625" style="132"/>
    <col min="10753" max="10753" width="11.140625" style="132" customWidth="1"/>
    <col min="10754" max="11008" width="9.140625" style="132"/>
    <col min="11009" max="11009" width="11.140625" style="132" customWidth="1"/>
    <col min="11010" max="11264" width="9.140625" style="132"/>
    <col min="11265" max="11265" width="11.140625" style="132" customWidth="1"/>
    <col min="11266" max="11520" width="9.140625" style="132"/>
    <col min="11521" max="11521" width="11.140625" style="132" customWidth="1"/>
    <col min="11522" max="11776" width="9.140625" style="132"/>
    <col min="11777" max="11777" width="11.140625" style="132" customWidth="1"/>
    <col min="11778" max="12032" width="9.140625" style="132"/>
    <col min="12033" max="12033" width="11.140625" style="132" customWidth="1"/>
    <col min="12034" max="12288" width="9.140625" style="132"/>
    <col min="12289" max="12289" width="11.140625" style="132" customWidth="1"/>
    <col min="12290" max="12544" width="9.140625" style="132"/>
    <col min="12545" max="12545" width="11.140625" style="132" customWidth="1"/>
    <col min="12546" max="12800" width="9.140625" style="132"/>
    <col min="12801" max="12801" width="11.140625" style="132" customWidth="1"/>
    <col min="12802" max="13056" width="9.140625" style="132"/>
    <col min="13057" max="13057" width="11.140625" style="132" customWidth="1"/>
    <col min="13058" max="13312" width="9.140625" style="132"/>
    <col min="13313" max="13313" width="11.140625" style="132" customWidth="1"/>
    <col min="13314" max="13568" width="9.140625" style="132"/>
    <col min="13569" max="13569" width="11.140625" style="132" customWidth="1"/>
    <col min="13570" max="13824" width="9.140625" style="132"/>
    <col min="13825" max="13825" width="11.140625" style="132" customWidth="1"/>
    <col min="13826" max="14080" width="9.140625" style="132"/>
    <col min="14081" max="14081" width="11.140625" style="132" customWidth="1"/>
    <col min="14082" max="14336" width="9.140625" style="132"/>
    <col min="14337" max="14337" width="11.140625" style="132" customWidth="1"/>
    <col min="14338" max="14592" width="9.140625" style="132"/>
    <col min="14593" max="14593" width="11.140625" style="132" customWidth="1"/>
    <col min="14594" max="14848" width="9.140625" style="132"/>
    <col min="14849" max="14849" width="11.140625" style="132" customWidth="1"/>
    <col min="14850" max="15104" width="9.140625" style="132"/>
    <col min="15105" max="15105" width="11.140625" style="132" customWidth="1"/>
    <col min="15106" max="15360" width="9.140625" style="132"/>
    <col min="15361" max="15361" width="11.140625" style="132" customWidth="1"/>
    <col min="15362" max="15616" width="9.140625" style="132"/>
    <col min="15617" max="15617" width="11.140625" style="132" customWidth="1"/>
    <col min="15618" max="15872" width="9.140625" style="132"/>
    <col min="15873" max="15873" width="11.140625" style="132" customWidth="1"/>
    <col min="15874" max="16128" width="9.140625" style="132"/>
    <col min="16129" max="16129" width="11.140625" style="132" customWidth="1"/>
    <col min="16130" max="16384" width="9.140625" style="132"/>
  </cols>
  <sheetData>
    <row r="2" spans="1:9" ht="15.75">
      <c r="A2" s="131"/>
      <c r="B2" s="131"/>
      <c r="C2" s="131"/>
      <c r="D2" s="131"/>
      <c r="E2" s="131"/>
      <c r="F2" s="131"/>
      <c r="G2" s="131"/>
      <c r="H2" s="131"/>
      <c r="I2" s="131"/>
    </row>
    <row r="3" spans="1:9" ht="18">
      <c r="A3" s="138" t="s">
        <v>394</v>
      </c>
      <c r="B3" s="138"/>
      <c r="C3" s="138"/>
      <c r="D3" s="138"/>
      <c r="E3" s="138"/>
      <c r="F3" s="138"/>
      <c r="G3" s="131"/>
      <c r="H3" s="131"/>
      <c r="I3" s="131"/>
    </row>
    <row r="4" spans="1:9" ht="18">
      <c r="A4" s="138" t="s">
        <v>395</v>
      </c>
      <c r="B4" s="138"/>
      <c r="C4" s="138"/>
      <c r="D4" s="138"/>
      <c r="E4" s="138"/>
      <c r="F4" s="138"/>
      <c r="G4" s="131"/>
      <c r="H4" s="131"/>
      <c r="I4" s="131"/>
    </row>
    <row r="5" spans="1:9" ht="15.75">
      <c r="A5" s="131"/>
      <c r="B5" s="131"/>
      <c r="C5" s="131"/>
      <c r="D5" s="131"/>
      <c r="E5" s="131"/>
      <c r="F5" s="131"/>
      <c r="G5" s="131"/>
      <c r="H5" s="131"/>
      <c r="I5" s="131"/>
    </row>
    <row r="6" spans="1:9" ht="15.75">
      <c r="A6" s="131"/>
      <c r="B6" s="131"/>
      <c r="C6" s="131"/>
      <c r="D6" s="131"/>
      <c r="E6" s="131"/>
      <c r="F6" s="131"/>
      <c r="G6" s="131"/>
      <c r="H6" s="131"/>
      <c r="I6" s="131"/>
    </row>
    <row r="7" spans="1:9" ht="15.75">
      <c r="A7" s="131"/>
      <c r="B7" s="131"/>
      <c r="C7" s="131"/>
      <c r="D7" s="131"/>
      <c r="E7" s="131"/>
      <c r="F7" s="131"/>
      <c r="G7" s="131"/>
      <c r="H7" s="131"/>
      <c r="I7" s="131"/>
    </row>
    <row r="8" spans="1:9" ht="15.75">
      <c r="A8" s="131"/>
      <c r="B8" s="131"/>
      <c r="C8" s="131"/>
      <c r="D8" s="131"/>
      <c r="E8" s="131"/>
      <c r="F8" s="131"/>
      <c r="G8" s="131"/>
      <c r="H8" s="131"/>
      <c r="I8" s="131"/>
    </row>
    <row r="9" spans="1:9" ht="15.75">
      <c r="A9" s="131"/>
      <c r="B9" s="131"/>
      <c r="C9" s="131"/>
      <c r="D9" s="131"/>
      <c r="E9" s="131"/>
      <c r="F9" s="131"/>
      <c r="G9" s="131"/>
      <c r="H9" s="131"/>
      <c r="I9" s="131"/>
    </row>
    <row r="10" spans="1:9" ht="15.75">
      <c r="A10" s="131"/>
      <c r="B10" s="131"/>
      <c r="C10" s="131"/>
      <c r="D10" s="131"/>
      <c r="E10" s="131"/>
      <c r="F10" s="131"/>
      <c r="G10" s="131"/>
      <c r="H10" s="131"/>
      <c r="I10" s="131"/>
    </row>
    <row r="11" spans="1:9" ht="15.75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9" ht="15.75">
      <c r="A12" s="133"/>
    </row>
    <row r="13" spans="1:9" ht="15.75">
      <c r="A13" s="133"/>
    </row>
    <row r="14" spans="1:9" ht="15.75">
      <c r="A14" s="133"/>
      <c r="I14" s="134"/>
    </row>
    <row r="15" spans="1:9">
      <c r="H15" s="132" t="s">
        <v>303</v>
      </c>
      <c r="I15" s="135"/>
    </row>
    <row r="21" spans="1:9" ht="18">
      <c r="A21" s="587" t="s">
        <v>396</v>
      </c>
      <c r="B21" s="587"/>
      <c r="C21" s="587"/>
      <c r="D21" s="587"/>
      <c r="E21" s="587"/>
      <c r="F21" s="587"/>
      <c r="G21" s="587"/>
      <c r="H21" s="587"/>
      <c r="I21" s="587"/>
    </row>
    <row r="22" spans="1:9" ht="18" customHeight="1">
      <c r="A22" s="587" t="s">
        <v>397</v>
      </c>
      <c r="B22" s="587"/>
      <c r="C22" s="587"/>
      <c r="D22" s="587"/>
      <c r="E22" s="587"/>
      <c r="F22" s="587"/>
      <c r="G22" s="587"/>
      <c r="H22" s="587"/>
      <c r="I22" s="587"/>
    </row>
    <row r="24" spans="1:9">
      <c r="B24" s="136"/>
    </row>
    <row r="25" spans="1:9">
      <c r="B25" s="136"/>
    </row>
    <row r="26" spans="1:9">
      <c r="B26" s="136"/>
    </row>
    <row r="27" spans="1:9">
      <c r="B27" s="136"/>
    </row>
    <row r="28" spans="1:9">
      <c r="B28" s="136"/>
    </row>
    <row r="33" spans="1:10">
      <c r="A33" s="137"/>
    </row>
    <row r="35" spans="1:10" ht="15.75" customHeight="1">
      <c r="D35" s="589" t="s">
        <v>305</v>
      </c>
      <c r="E35" s="589"/>
      <c r="F35" s="589"/>
      <c r="G35" s="589"/>
      <c r="H35" s="589"/>
      <c r="I35" s="589"/>
      <c r="J35" s="145"/>
    </row>
    <row r="36" spans="1:10" ht="15">
      <c r="F36" s="40"/>
    </row>
    <row r="37" spans="1:10" ht="15.75">
      <c r="F37" s="42" t="s">
        <v>304</v>
      </c>
      <c r="G37" s="42"/>
      <c r="H37" s="42"/>
    </row>
    <row r="44" spans="1:10" ht="15.75">
      <c r="A44" s="588" t="s">
        <v>466</v>
      </c>
      <c r="B44" s="588"/>
      <c r="C44" s="588"/>
      <c r="D44" s="588"/>
      <c r="E44" s="588"/>
      <c r="F44" s="588"/>
      <c r="G44" s="588"/>
      <c r="H44" s="588"/>
      <c r="I44" s="588"/>
    </row>
  </sheetData>
  <mergeCells count="4">
    <mergeCell ref="A21:I21"/>
    <mergeCell ref="A44:I44"/>
    <mergeCell ref="D35:I35"/>
    <mergeCell ref="A22:I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7"/>
  <sheetViews>
    <sheetView zoomScaleNormal="100" zoomScaleSheetLayoutView="130" workbookViewId="0">
      <pane ySplit="16" topLeftCell="A164" activePane="bottomLeft" state="frozen"/>
      <selection pane="bottomLeft" activeCell="I179" sqref="I179"/>
    </sheetView>
  </sheetViews>
  <sheetFormatPr defaultRowHeight="15"/>
  <cols>
    <col min="1" max="1" width="9.7109375" style="66" customWidth="1"/>
    <col min="2" max="2" width="50.7109375" style="44" customWidth="1"/>
    <col min="3" max="3" width="5.7109375" style="44" customWidth="1"/>
    <col min="4" max="5" width="14.7109375" style="44" hidden="1" customWidth="1"/>
    <col min="6" max="6" width="5.7109375" style="44" customWidth="1"/>
    <col min="7" max="9" width="16.7109375" style="44" customWidth="1"/>
    <col min="10" max="10" width="23.5703125" style="44" bestFit="1" customWidth="1"/>
    <col min="11" max="11" width="18" style="44" bestFit="1" customWidth="1"/>
    <col min="12" max="16384" width="9.140625" style="44"/>
  </cols>
  <sheetData>
    <row r="1" spans="1:11" ht="30" customHeight="1">
      <c r="A1" s="333"/>
      <c r="B1" s="334"/>
      <c r="C1" s="335" t="s">
        <v>220</v>
      </c>
      <c r="D1" s="336" t="s">
        <v>301</v>
      </c>
      <c r="E1" s="336" t="s">
        <v>301</v>
      </c>
      <c r="F1" s="335" t="s">
        <v>180</v>
      </c>
      <c r="G1" s="335" t="s">
        <v>398</v>
      </c>
      <c r="H1" s="335" t="s">
        <v>399</v>
      </c>
      <c r="I1" s="337" t="s">
        <v>400</v>
      </c>
    </row>
    <row r="2" spans="1:11" ht="25.5" customHeight="1">
      <c r="A2" s="338" t="s">
        <v>379</v>
      </c>
      <c r="B2" s="615" t="s">
        <v>380</v>
      </c>
      <c r="C2" s="616"/>
      <c r="D2" s="339" t="e">
        <f t="shared" ref="D2:E2" si="0">D3+D4+D7+D10+D11+D12+D13+D14+D15+D5+D8+D9</f>
        <v>#REF!</v>
      </c>
      <c r="E2" s="339" t="e">
        <f t="shared" si="0"/>
        <v>#REF!</v>
      </c>
      <c r="F2" s="339"/>
      <c r="G2" s="339">
        <f>G3+G4+G5+G7+G8+G9+G10+G11+G12+G13+G14+G15</f>
        <v>280809834</v>
      </c>
      <c r="H2" s="339">
        <f>H3+H4+H5+H7+H8+H9+H10+H11+H12+H13+H14+H15</f>
        <v>642082203</v>
      </c>
      <c r="I2" s="339">
        <f>I3+I4+I5+I7+I8+I9+I10+I11+I12+I13+I14+I15</f>
        <v>684559546.99800003</v>
      </c>
    </row>
    <row r="3" spans="1:11">
      <c r="A3" s="617"/>
      <c r="B3" s="617"/>
      <c r="C3" s="617"/>
      <c r="D3" s="340">
        <f>D19+D20+D21+D23+D25+D26+D28+D29+D30+D32+D34+D35+D36+D37+D39+D40+D41+D42+D43+D44+D45+D46+D47+D49+D52+D53+D54+D55+D56+D57+D58+D60+D61+D65+D67+D68+D70+D75+D76+D221+D222+D224+D225+D230+D233+D235+D236+D238+D240+D243+D244+D246+D336+D338+D219</f>
        <v>13333999.26</v>
      </c>
      <c r="E3" s="340">
        <f>E19+E20+E21+E23+E25+E26+E28+E29+E30+E32+E34+E35+E36+E37+E39+E40+E41+E42+E43+E44+E45+E46+E47+E49+E52+E53+E54+E55+E56+E57+E58+E60+E61+E65+E67+E68+E70+E75+E76+E221+E222+E224+E225+E230+E233+E235+E236+E238+E240+E243+E244+E246+E336+E338</f>
        <v>13333984</v>
      </c>
      <c r="F3" s="341">
        <v>11</v>
      </c>
      <c r="G3" s="340">
        <f>G19+G20+G21+G23+G25+G26+G28+G29+G30+G32+G34+G35+G36+G37+G39+G40+G41+G42+G43+G44+G45+G46+G47+G49+G52+G53+G54+G55+G56+G57+G58+G60+G61+G65+G67+G68+G70+G75+G76+G221+G222+G224+G225+G230+G233+G235+G236+G238+G240+G243+G244+G246+G336+G338+G219+G63</f>
        <v>29408200</v>
      </c>
      <c r="H3" s="340">
        <f>H19+H20+H21+H23+H25+H26+H28+H29+H30+H32+H34+H35+H36+H37+H39+H40+H41+H42+H43+H44+H45+H46+H47+H49+H52+H53+H54+H55+H56+H57+H58+H60+H61+H65+H67+H68+H70+H75+H76+H221+H222+H224+H225+H230+H233+H235+H236+H238+H240+H243+H244+H246+H336+H338+H219+H63</f>
        <v>25589311</v>
      </c>
      <c r="I3" s="340">
        <f>I19+I20+I21+I23+I25+I26+I28+I29+I30+I32+I34+I35+I36+I37+I39+I40+I41+I42+I43+I44+I45+I46+I47+I49+I52+I53+I54+I55+I56+I57+I58+I60+I61+I65+I67+I68+I70+I75+I76+I221+I222+I224+I225+I230+I233+I235+I236+I238+I240+I243+I244+I246+I336+I338+I219+I63</f>
        <v>25562746</v>
      </c>
    </row>
    <row r="4" spans="1:11">
      <c r="A4" s="617"/>
      <c r="B4" s="617"/>
      <c r="C4" s="617"/>
      <c r="D4" s="340">
        <f>D104+D106+D109+D112+D114+D117+D119+D121+D124+D126+D128+D131+D133+D135+D137+D139+D141+D143+D145+D148+D151+D153+D156+D159+D162+D164+D167+D170+D247</f>
        <v>3359987.05</v>
      </c>
      <c r="E4" s="340" t="e">
        <f>E104+E106+E109+E112+E114+E117+E119+E121+E124+E126+E128+E131+E133+E135+E137+E139+E141+E143+E145+E148+E151+E153+E156+E159+E162+E164+E167+E170+E247+#REF!+#REF!+#REF!+#REF!+#REF!+#REF!+#REF!+#REF!+#REF!+#REF!+#REF!+#REF!+#REF!+#REF!+#REF!+#REF!+#REF!+#REF!+#REF!+#REF!+#REF!</f>
        <v>#REF!</v>
      </c>
      <c r="F4" s="342">
        <v>12</v>
      </c>
      <c r="G4" s="340">
        <f>G104+G106+G109+G112+G114+G117+G119+G121+G124+G126+G128+G131+G133+G135+G137+G139+G141+G143+G145+G148+G151+G153+G156+G159+G162+G164+G167+G170+G247</f>
        <v>5604184</v>
      </c>
      <c r="H4" s="340">
        <f>H104+H106+H109+H112+H114+H117+H119+H121+H124+H126+H128+H131+H133+H135+H137+H139+H141+H143+H145+H148+H151+H153+H156+H159+H162+H164+H167+H170+H247</f>
        <v>7473073</v>
      </c>
      <c r="I4" s="340">
        <f>I104+I106+I109+I112+I114+I117+I119+I121+I124+I126+I128+I131+I133+I135+I137+I139+I141+I143+I145+I148+I151+I153+I156+I159+I162+I164+I167+I170+I247</f>
        <v>7499638</v>
      </c>
    </row>
    <row r="5" spans="1:11">
      <c r="A5" s="617"/>
      <c r="B5" s="617"/>
      <c r="C5" s="617"/>
      <c r="D5" s="340">
        <f>D82+D83+D85+D86+D87+D88+D90+D92+D93</f>
        <v>1690513.74</v>
      </c>
      <c r="E5" s="340"/>
      <c r="F5" s="342" t="s">
        <v>334</v>
      </c>
      <c r="G5" s="340">
        <f>G82+G83+G85+G86+G87+G88+G90+G92+G93</f>
        <v>1125000</v>
      </c>
      <c r="H5" s="340">
        <f t="shared" ref="H5:I5" si="1">H82+H83+H85+H86+H87+H88+H90+H92+H93</f>
        <v>1075000</v>
      </c>
      <c r="I5" s="340">
        <f t="shared" si="1"/>
        <v>1075000</v>
      </c>
    </row>
    <row r="6" spans="1:11">
      <c r="A6" s="617"/>
      <c r="B6" s="617"/>
      <c r="C6" s="617"/>
      <c r="D6" s="343">
        <f>D3+D4</f>
        <v>16693986.309999999</v>
      </c>
      <c r="E6" s="343" t="e">
        <f>E3+E4+#REF!</f>
        <v>#REF!</v>
      </c>
      <c r="F6" s="344" t="s">
        <v>267</v>
      </c>
      <c r="G6" s="343">
        <f>G3+G4+G5</f>
        <v>36137384</v>
      </c>
      <c r="H6" s="343">
        <f t="shared" ref="H6:I6" si="2">H3+H4+H5</f>
        <v>34137384</v>
      </c>
      <c r="I6" s="343">
        <f t="shared" si="2"/>
        <v>34137384</v>
      </c>
    </row>
    <row r="7" spans="1:11">
      <c r="A7" s="617"/>
      <c r="B7" s="617"/>
      <c r="C7" s="617"/>
      <c r="D7" s="340">
        <f>D72+D78+D79+D100+D101</f>
        <v>18360497.189999998</v>
      </c>
      <c r="E7" s="340">
        <v>1690514</v>
      </c>
      <c r="F7" s="563" t="s">
        <v>0</v>
      </c>
      <c r="G7" s="564">
        <f>G72+G78+G79+G100+G101</f>
        <v>70000000</v>
      </c>
      <c r="H7" s="564">
        <f>H72+H78+H79+H100+H101</f>
        <v>80000000</v>
      </c>
      <c r="I7" s="564">
        <f>I72+I78+I79+I100+I101</f>
        <v>75000000</v>
      </c>
    </row>
    <row r="8" spans="1:11">
      <c r="A8" s="617"/>
      <c r="B8" s="617"/>
      <c r="C8" s="617"/>
      <c r="D8" s="340" t="e">
        <f>#REF!+#REF!</f>
        <v>#REF!</v>
      </c>
      <c r="E8" s="340"/>
      <c r="F8" s="563" t="s">
        <v>82</v>
      </c>
      <c r="G8" s="564">
        <f>G227+G180+G176</f>
        <v>3500000</v>
      </c>
      <c r="H8" s="564">
        <f t="shared" ref="H8:I8" si="3">H227+H180+H176</f>
        <v>83529412</v>
      </c>
      <c r="I8" s="564">
        <f t="shared" si="3"/>
        <v>126058824</v>
      </c>
    </row>
    <row r="9" spans="1:11">
      <c r="A9" s="617"/>
      <c r="B9" s="617"/>
      <c r="C9" s="617"/>
      <c r="D9" s="340">
        <f>D95+D97</f>
        <v>4500000</v>
      </c>
      <c r="E9" s="340"/>
      <c r="F9" s="563" t="s">
        <v>334</v>
      </c>
      <c r="G9" s="564">
        <f>G95+G97</f>
        <v>10750000</v>
      </c>
      <c r="H9" s="564">
        <f t="shared" ref="H9:I9" si="4">H95+H97</f>
        <v>27500000</v>
      </c>
      <c r="I9" s="564">
        <f t="shared" si="4"/>
        <v>26500000</v>
      </c>
    </row>
    <row r="10" spans="1:11">
      <c r="A10" s="617"/>
      <c r="B10" s="617"/>
      <c r="C10" s="617"/>
      <c r="D10" s="340" t="e">
        <f>#REF!+#REF!+#REF!+#REF!</f>
        <v>#REF!</v>
      </c>
      <c r="E10" s="340" t="e">
        <f>#REF!+#REF!+#REF!+#REF!</f>
        <v>#REF!</v>
      </c>
      <c r="F10" s="563">
        <v>563</v>
      </c>
      <c r="G10" s="564">
        <f>G177+G178+G181</f>
        <v>119029412</v>
      </c>
      <c r="H10" s="564">
        <f t="shared" ref="H10:I10" si="5">H177+H178+H181</f>
        <v>356529000</v>
      </c>
      <c r="I10" s="564">
        <f t="shared" si="5"/>
        <v>356529000</v>
      </c>
    </row>
    <row r="11" spans="1:11">
      <c r="A11" s="617"/>
      <c r="B11" s="617"/>
      <c r="C11" s="617"/>
      <c r="D11" s="340" t="e">
        <f>#REF!+D31+#REF!+#REF!+#REF!+#REF!+#REF!+#REF!+#REF!+#REF!+#REF!+#REF!+#REF!+#REF!</f>
        <v>#REF!</v>
      </c>
      <c r="E11" s="340" t="e">
        <f>#REF!+E31+#REF!+#REF!+#REF!+#REF!+#REF!+#REF!+#REF!+#REF!+#REF!+#REF!+#REF!+#REF!</f>
        <v>#REF!</v>
      </c>
      <c r="F11" s="342" t="s">
        <v>272</v>
      </c>
      <c r="G11" s="340">
        <f>G31</f>
        <v>20548</v>
      </c>
      <c r="H11" s="340">
        <f t="shared" ref="H11:I11" si="6">H31</f>
        <v>0</v>
      </c>
      <c r="I11" s="340">
        <f t="shared" si="6"/>
        <v>0</v>
      </c>
    </row>
    <row r="12" spans="1:11">
      <c r="A12" s="617"/>
      <c r="B12" s="617"/>
      <c r="C12" s="617"/>
      <c r="D12" s="340" t="e">
        <f>D251+D252+D253+D255+D257+D258+D259+D260+D261+D262+D263+D264+D266+D268+D269+D271+D272+D307+D310+D312+D315+D317+D321+#REF!+D323+D325+D328+D330+D333</f>
        <v>#REF!</v>
      </c>
      <c r="E12" s="340" t="e">
        <f>E251+E252+E253+E255+E257+E258+E259+E260+E261+E262+E263+E264+E266+E268+E269+E271+E272+E307+E310+E312+E315+E317+E321+#REF!+E323+E325+E328+E330+E333</f>
        <v>#REF!</v>
      </c>
      <c r="F12" s="342" t="s">
        <v>235</v>
      </c>
      <c r="G12" s="340">
        <f>G251+G252+G253+G255+G257+G258+G259+G260+G261+G262+G263+G264+G266+G268+G269+G271+G272+G307+G310+G312+G315+G317+G321+G323+G325+G328+G330+G333</f>
        <v>646369</v>
      </c>
      <c r="H12" s="340">
        <f t="shared" ref="H12:I12" si="7">H251+H252+H253+H255+H257+H258+H259+H260+H261+H262+H263+H264+H266+H268+H269+H271+H272+H307+H310+H312+H315+H317+H321+H323+H325+H328+H330+H333</f>
        <v>655513</v>
      </c>
      <c r="I12" s="340">
        <f t="shared" si="7"/>
        <v>601065</v>
      </c>
    </row>
    <row r="13" spans="1:11">
      <c r="A13" s="617"/>
      <c r="B13" s="617"/>
      <c r="C13" s="617"/>
      <c r="D13" s="340">
        <f>D50</f>
        <v>0</v>
      </c>
      <c r="E13" s="340">
        <f>E50</f>
        <v>-20865</v>
      </c>
      <c r="F13" s="342" t="s">
        <v>264</v>
      </c>
      <c r="G13" s="340">
        <f t="shared" ref="G13:I13" si="8">G50</f>
        <v>0</v>
      </c>
      <c r="H13" s="340">
        <f t="shared" si="8"/>
        <v>0</v>
      </c>
      <c r="I13" s="340">
        <f t="shared" si="8"/>
        <v>0</v>
      </c>
    </row>
    <row r="14" spans="1:11">
      <c r="A14" s="617"/>
      <c r="B14" s="617"/>
      <c r="C14" s="617"/>
      <c r="D14" s="340" t="e">
        <f>D231+D234+D237+D241+D248+D306+D309+D311+D314+D318+D320+D322+#REF!+D324+D331+D327</f>
        <v>#REF!</v>
      </c>
      <c r="E14" s="340" t="e">
        <f>E231+E234+E237+E241+E248+E306+E309+E311+E314+E318+E320+E322+#REF!+E324+E331</f>
        <v>#REF!</v>
      </c>
      <c r="F14" s="342" t="s">
        <v>315</v>
      </c>
      <c r="G14" s="340">
        <f>G231+G234+G237+G241+G248+G306+G309+G311+G314+G318+G320+G322+G324+G331+G327</f>
        <v>4726121</v>
      </c>
      <c r="H14" s="340">
        <f t="shared" ref="H14:I14" si="9">H231+H234+H237+H241+H248+H306+H309+H311+H314+H318+H320+H322+H324+H331+H327</f>
        <v>5381005</v>
      </c>
      <c r="I14" s="340">
        <f t="shared" si="9"/>
        <v>5419599</v>
      </c>
    </row>
    <row r="15" spans="1:11">
      <c r="A15" s="617"/>
      <c r="B15" s="617"/>
      <c r="C15" s="617"/>
      <c r="D15" s="340" t="e">
        <f>D105+D107+D110+D113+D115+D118+D120+D122+D125+D127+D129+D132+D134+D136+D138+D140+D142+D144+D146+D149+D152+D154+D157+D160+D163+D165+D168+D171+D184+D185+D187+D189+D190+D192+D193+D194+D196+D197+D199+D200+D201+D202+D203+D204+D205+D206+D208+D212+D214+D216+D275+D277+D279+D280+D282+D283+D284+D285+D287+D288+D290+D291+D292+D293+D294+D295+D297+D299+D300+D301+D303+D210+#REF!+#REF!+#REF!</f>
        <v>#REF!</v>
      </c>
      <c r="E15" s="340" t="e">
        <f>E105+E107+E110+E113+E115+E118+E120+E122+E125+E127+E129+E132+E134+E136+E138+E140+E142+E144+E146+E149+E152+E154+E157+E160+E163+E165+E168+E171+#REF!+#REF!+#REF!+#REF!+#REF!+#REF!+E184+E185+E187+E189+E190+E192+E193+E194+E196+E197+E199+E200+E201+E202+E203+E204+E205+E206+E208+E212+E214+E216+E275+E277+E279+E280+E282+E283+E284+E285+E287+E288+E290+E291+E292+E293+E294+E295+E297+E299+E300+E301+E303</f>
        <v>#REF!</v>
      </c>
      <c r="F15" s="342" t="s">
        <v>234</v>
      </c>
      <c r="G15" s="340">
        <f>G105+G107+G110+G113+G115+G118+G120+G122+G125+G127+G129+G132+G134+G136+G138+G140+G142+G144+G146+G149+G152+G154+G157+G160+G163+G165+G168+G171+G174+G184+G185+G187+G189+G190+G192+G193+G194+G196+G197+G199+G200+G201+G202+G203+G204+G205+G206+G208+G212+G214+G216+G275+G277+G279+G280+G282+G283+G284+G285+G287+G288+G290+G291+G292+G293+G294+G295+G297+G299+G300+G301+G303+G210</f>
        <v>36000000</v>
      </c>
      <c r="H15" s="340">
        <f>H105+H107+H110+H113+H115+H118+H120+H122+H125+H127+H129+H132+H134+H136+H138+H140+H142+H144+H146+H149+H152+H154+H157+H160+H163+H165+H168+H171+H174+H184+H185+H187+H189+H190+H192+H193+H194+H196+H197+H199+H200+H201+H202+H203+H204+H205+H206+H208+H212+H214+H216+H275+H277+H279+H280+H282+H283+H284+H285+H287+H288+H290+H291+H292+H293+H294+H295+H297+H299+H300+H301+H303+H210</f>
        <v>54349889</v>
      </c>
      <c r="I15" s="340">
        <f>I105+I107+I110+I113+I115+I118+I120+I122+I125+I127+I129+I132+I134+I136+I138+I140+I142+I144+I146+I149+I152+I154+I157+I160+I163+I165+I168+I171+I174+I184+I185+I187+I189+I190+I192+I193+I194+I196+I197+I199+I200+I201+I202+I203+I204+I205+I206+I208+I212+I214+I216+I275+I277+I279+I280+I282+I283+I284+I285+I287+I288+I290+I291+I292+I293+I294+I295+I297+I299+I300+I301+I303+I210</f>
        <v>60313674.998000003</v>
      </c>
      <c r="J15" s="292"/>
      <c r="K15" s="292"/>
    </row>
    <row r="16" spans="1:11">
      <c r="A16" s="618" t="s">
        <v>377</v>
      </c>
      <c r="B16" s="618"/>
      <c r="C16" s="619"/>
      <c r="D16" s="345"/>
      <c r="E16" s="345"/>
      <c r="F16" s="345"/>
      <c r="G16" s="345"/>
      <c r="H16" s="345"/>
      <c r="I16" s="345"/>
    </row>
    <row r="17" spans="1:10">
      <c r="A17" s="346" t="s">
        <v>381</v>
      </c>
      <c r="B17" s="347" t="s">
        <v>187</v>
      </c>
      <c r="C17" s="348" t="s">
        <v>232</v>
      </c>
      <c r="D17" s="349" t="e">
        <f>D18+D22+D24+D27+D33+D38+D48+D51+D59+D64+D66+D69+D71</f>
        <v>#REF!</v>
      </c>
      <c r="E17" s="349" t="e">
        <f>E18+E22+E24+E27+E33+E38+E48+E51+E59+E64+E66+E69+E71</f>
        <v>#REF!</v>
      </c>
      <c r="F17" s="349"/>
      <c r="G17" s="349">
        <f>G18+G22+G24+G27+G33+G38+G48+G51+G59+G64+G66+G69+G71+G62</f>
        <v>17914712</v>
      </c>
      <c r="H17" s="349">
        <f>H18+H22+H24+H27+H33+H38+H48+H51+H59+H64+H66+H69+H71+H62</f>
        <v>17829164</v>
      </c>
      <c r="I17" s="349">
        <f>I18+I22+I24+I27+I33+I38+I48+I51+I59+I64+I66+I69+I71+I62</f>
        <v>18524164</v>
      </c>
    </row>
    <row r="18" spans="1:10">
      <c r="A18" s="350" t="s">
        <v>1</v>
      </c>
      <c r="B18" s="351" t="s">
        <v>2</v>
      </c>
      <c r="C18" s="364" t="s">
        <v>232</v>
      </c>
      <c r="D18" s="353">
        <f>D19+D21+D20</f>
        <v>1238919.6299999999</v>
      </c>
      <c r="E18" s="353">
        <f>E19+E21+E20</f>
        <v>1238919</v>
      </c>
      <c r="F18" s="353"/>
      <c r="G18" s="353">
        <f t="shared" ref="G18:I18" si="10">SUM(G19:G21)</f>
        <v>8675456</v>
      </c>
      <c r="H18" s="353">
        <f t="shared" si="10"/>
        <v>9017920</v>
      </c>
      <c r="I18" s="353">
        <f t="shared" si="10"/>
        <v>9551040</v>
      </c>
    </row>
    <row r="19" spans="1:10">
      <c r="A19" s="354" t="s">
        <v>3</v>
      </c>
      <c r="B19" s="355" t="s">
        <v>4</v>
      </c>
      <c r="C19" s="364" t="s">
        <v>232</v>
      </c>
      <c r="D19" s="357">
        <v>981776.76</v>
      </c>
      <c r="E19" s="357">
        <v>981776</v>
      </c>
      <c r="F19" s="356" t="s">
        <v>0</v>
      </c>
      <c r="G19" s="371">
        <v>8491732</v>
      </c>
      <c r="H19" s="371">
        <v>8834196</v>
      </c>
      <c r="I19" s="371">
        <v>9367316</v>
      </c>
    </row>
    <row r="20" spans="1:10">
      <c r="A20" s="354">
        <v>3112</v>
      </c>
      <c r="B20" s="355" t="s">
        <v>150</v>
      </c>
      <c r="C20" s="364" t="s">
        <v>232</v>
      </c>
      <c r="D20" s="357">
        <v>0</v>
      </c>
      <c r="E20" s="358">
        <v>-50492</v>
      </c>
      <c r="F20" s="356" t="s">
        <v>0</v>
      </c>
      <c r="G20" s="371">
        <v>0</v>
      </c>
      <c r="H20" s="371">
        <v>0</v>
      </c>
      <c r="I20" s="371">
        <v>0</v>
      </c>
      <c r="J20" s="26"/>
    </row>
    <row r="21" spans="1:10">
      <c r="A21" s="354" t="s">
        <v>5</v>
      </c>
      <c r="B21" s="355" t="s">
        <v>6</v>
      </c>
      <c r="C21" s="364" t="s">
        <v>232</v>
      </c>
      <c r="D21" s="357">
        <f>307635.23-50492.36</f>
        <v>257142.87</v>
      </c>
      <c r="E21" s="358">
        <v>307635</v>
      </c>
      <c r="F21" s="356" t="s">
        <v>0</v>
      </c>
      <c r="G21" s="371">
        <v>183724</v>
      </c>
      <c r="H21" s="371">
        <v>183724</v>
      </c>
      <c r="I21" s="371">
        <v>183724</v>
      </c>
    </row>
    <row r="22" spans="1:10">
      <c r="A22" s="350" t="s">
        <v>7</v>
      </c>
      <c r="B22" s="351" t="s">
        <v>8</v>
      </c>
      <c r="C22" s="364" t="s">
        <v>232</v>
      </c>
      <c r="D22" s="353">
        <f>D23</f>
        <v>76022.52</v>
      </c>
      <c r="E22" s="353">
        <f>E23</f>
        <v>76022</v>
      </c>
      <c r="F22" s="353"/>
      <c r="G22" s="353">
        <f t="shared" ref="G22:I22" si="11">G23</f>
        <v>360000</v>
      </c>
      <c r="H22" s="353">
        <f t="shared" si="11"/>
        <v>370000</v>
      </c>
      <c r="I22" s="353">
        <f t="shared" si="11"/>
        <v>380000</v>
      </c>
    </row>
    <row r="23" spans="1:10">
      <c r="A23" s="354" t="s">
        <v>9</v>
      </c>
      <c r="B23" s="355" t="s">
        <v>8</v>
      </c>
      <c r="C23" s="364" t="s">
        <v>232</v>
      </c>
      <c r="D23" s="357">
        <v>76022.52</v>
      </c>
      <c r="E23" s="357">
        <v>76022</v>
      </c>
      <c r="F23" s="356" t="s">
        <v>0</v>
      </c>
      <c r="G23" s="371">
        <v>360000</v>
      </c>
      <c r="H23" s="371">
        <v>370000</v>
      </c>
      <c r="I23" s="371">
        <v>380000</v>
      </c>
    </row>
    <row r="24" spans="1:10">
      <c r="A24" s="350" t="s">
        <v>10</v>
      </c>
      <c r="B24" s="351" t="s">
        <v>11</v>
      </c>
      <c r="C24" s="364" t="s">
        <v>232</v>
      </c>
      <c r="D24" s="353">
        <f>D25+D26</f>
        <v>438359.37</v>
      </c>
      <c r="E24" s="353">
        <f>E25+E26</f>
        <v>438358</v>
      </c>
      <c r="F24" s="353"/>
      <c r="G24" s="353">
        <f t="shared" ref="G24:I24" si="12">G25+G26</f>
        <v>1448708</v>
      </c>
      <c r="H24" s="353">
        <f t="shared" si="12"/>
        <v>1517244</v>
      </c>
      <c r="I24" s="353">
        <f t="shared" si="12"/>
        <v>1584124</v>
      </c>
    </row>
    <row r="25" spans="1:10">
      <c r="A25" s="354" t="s">
        <v>12</v>
      </c>
      <c r="B25" s="355" t="s">
        <v>13</v>
      </c>
      <c r="C25" s="364" t="s">
        <v>232</v>
      </c>
      <c r="D25" s="357">
        <v>395032.6</v>
      </c>
      <c r="E25" s="357">
        <v>395032</v>
      </c>
      <c r="F25" s="356" t="s">
        <v>0</v>
      </c>
      <c r="G25" s="371">
        <v>1304708</v>
      </c>
      <c r="H25" s="371">
        <v>1360598</v>
      </c>
      <c r="I25" s="371">
        <v>1416798</v>
      </c>
    </row>
    <row r="26" spans="1:10">
      <c r="A26" s="354" t="s">
        <v>14</v>
      </c>
      <c r="B26" s="355" t="s">
        <v>293</v>
      </c>
      <c r="C26" s="364" t="s">
        <v>232</v>
      </c>
      <c r="D26" s="357">
        <v>43326.77</v>
      </c>
      <c r="E26" s="357">
        <v>43326</v>
      </c>
      <c r="F26" s="356" t="s">
        <v>0</v>
      </c>
      <c r="G26" s="371">
        <v>144000</v>
      </c>
      <c r="H26" s="371">
        <v>156646</v>
      </c>
      <c r="I26" s="371">
        <v>167326</v>
      </c>
    </row>
    <row r="27" spans="1:10">
      <c r="A27" s="350" t="s">
        <v>16</v>
      </c>
      <c r="B27" s="351" t="s">
        <v>17</v>
      </c>
      <c r="C27" s="364" t="s">
        <v>232</v>
      </c>
      <c r="D27" s="353">
        <f>SUM(D28:D32)</f>
        <v>341987.75</v>
      </c>
      <c r="E27" s="353">
        <f>SUM(E28:E32)</f>
        <v>341986</v>
      </c>
      <c r="F27" s="353"/>
      <c r="G27" s="353">
        <f t="shared" ref="G27:I27" si="13">SUM(G28:G32)</f>
        <v>805548</v>
      </c>
      <c r="H27" s="353">
        <f t="shared" si="13"/>
        <v>835000</v>
      </c>
      <c r="I27" s="353">
        <f t="shared" si="13"/>
        <v>885000</v>
      </c>
    </row>
    <row r="28" spans="1:10">
      <c r="A28" s="354" t="s">
        <v>18</v>
      </c>
      <c r="B28" s="355" t="s">
        <v>19</v>
      </c>
      <c r="C28" s="364" t="s">
        <v>232</v>
      </c>
      <c r="D28" s="357">
        <v>22286.79</v>
      </c>
      <c r="E28" s="357">
        <v>22286</v>
      </c>
      <c r="F28" s="356" t="s">
        <v>0</v>
      </c>
      <c r="G28" s="371">
        <v>200000</v>
      </c>
      <c r="H28" s="371">
        <v>200000</v>
      </c>
      <c r="I28" s="371">
        <v>200000</v>
      </c>
    </row>
    <row r="29" spans="1:10">
      <c r="A29" s="354" t="s">
        <v>20</v>
      </c>
      <c r="B29" s="355" t="s">
        <v>21</v>
      </c>
      <c r="C29" s="364" t="s">
        <v>232</v>
      </c>
      <c r="D29" s="357">
        <v>235192.39</v>
      </c>
      <c r="E29" s="357">
        <v>235192</v>
      </c>
      <c r="F29" s="356" t="s">
        <v>0</v>
      </c>
      <c r="G29" s="371">
        <v>500000</v>
      </c>
      <c r="H29" s="371">
        <v>550000</v>
      </c>
      <c r="I29" s="371">
        <v>600000</v>
      </c>
    </row>
    <row r="30" spans="1:10">
      <c r="A30" s="354" t="s">
        <v>22</v>
      </c>
      <c r="B30" s="355" t="s">
        <v>23</v>
      </c>
      <c r="C30" s="364" t="s">
        <v>232</v>
      </c>
      <c r="D30" s="357">
        <v>57306.57</v>
      </c>
      <c r="E30" s="357">
        <v>57306</v>
      </c>
      <c r="F30" s="356" t="s">
        <v>0</v>
      </c>
      <c r="G30" s="371">
        <v>70000</v>
      </c>
      <c r="H30" s="371">
        <v>70000</v>
      </c>
      <c r="I30" s="371">
        <v>70000</v>
      </c>
    </row>
    <row r="31" spans="1:10">
      <c r="A31" s="354" t="s">
        <v>22</v>
      </c>
      <c r="B31" s="355" t="s">
        <v>23</v>
      </c>
      <c r="C31" s="364" t="s">
        <v>232</v>
      </c>
      <c r="D31" s="357">
        <v>0</v>
      </c>
      <c r="E31" s="357">
        <v>0</v>
      </c>
      <c r="F31" s="356" t="s">
        <v>272</v>
      </c>
      <c r="G31" s="371">
        <v>20548</v>
      </c>
      <c r="H31" s="371">
        <v>0</v>
      </c>
      <c r="I31" s="371">
        <v>0</v>
      </c>
    </row>
    <row r="32" spans="1:10">
      <c r="A32" s="354">
        <v>3214</v>
      </c>
      <c r="B32" s="355" t="s">
        <v>335</v>
      </c>
      <c r="C32" s="364" t="s">
        <v>232</v>
      </c>
      <c r="D32" s="357">
        <v>27202</v>
      </c>
      <c r="E32" s="357">
        <v>27202</v>
      </c>
      <c r="F32" s="356" t="s">
        <v>0</v>
      </c>
      <c r="G32" s="371">
        <v>15000</v>
      </c>
      <c r="H32" s="371">
        <v>15000</v>
      </c>
      <c r="I32" s="371">
        <v>15000</v>
      </c>
    </row>
    <row r="33" spans="1:9">
      <c r="A33" s="350" t="s">
        <v>24</v>
      </c>
      <c r="B33" s="351" t="s">
        <v>25</v>
      </c>
      <c r="C33" s="364" t="s">
        <v>232</v>
      </c>
      <c r="D33" s="353">
        <f>SUM(D34:D37)</f>
        <v>253555.38</v>
      </c>
      <c r="E33" s="353">
        <f>SUM(E34:E37)</f>
        <v>253554</v>
      </c>
      <c r="F33" s="353"/>
      <c r="G33" s="353">
        <f>SUM(G34:G37)</f>
        <v>925000</v>
      </c>
      <c r="H33" s="353">
        <f>SUM(H34:H37)</f>
        <v>925000</v>
      </c>
      <c r="I33" s="353">
        <f>SUM(I34:I37)</f>
        <v>925000</v>
      </c>
    </row>
    <row r="34" spans="1:9">
      <c r="A34" s="354" t="s">
        <v>26</v>
      </c>
      <c r="B34" s="355" t="s">
        <v>27</v>
      </c>
      <c r="C34" s="364" t="s">
        <v>232</v>
      </c>
      <c r="D34" s="357">
        <v>98217.05</v>
      </c>
      <c r="E34" s="357">
        <v>98217</v>
      </c>
      <c r="F34" s="356" t="s">
        <v>0</v>
      </c>
      <c r="G34" s="371">
        <v>225000</v>
      </c>
      <c r="H34" s="371">
        <v>225000</v>
      </c>
      <c r="I34" s="371">
        <v>225000</v>
      </c>
    </row>
    <row r="35" spans="1:9">
      <c r="A35" s="354" t="s">
        <v>28</v>
      </c>
      <c r="B35" s="360" t="s">
        <v>29</v>
      </c>
      <c r="C35" s="364" t="s">
        <v>232</v>
      </c>
      <c r="D35" s="357">
        <v>123968.54</v>
      </c>
      <c r="E35" s="357">
        <v>123968</v>
      </c>
      <c r="F35" s="356" t="s">
        <v>0</v>
      </c>
      <c r="G35" s="371">
        <v>660000</v>
      </c>
      <c r="H35" s="371">
        <v>660000</v>
      </c>
      <c r="I35" s="371">
        <v>660000</v>
      </c>
    </row>
    <row r="36" spans="1:9">
      <c r="A36" s="354" t="s">
        <v>30</v>
      </c>
      <c r="B36" s="355" t="s">
        <v>31</v>
      </c>
      <c r="C36" s="364" t="s">
        <v>232</v>
      </c>
      <c r="D36" s="357">
        <v>17878.349999999999</v>
      </c>
      <c r="E36" s="357">
        <v>17878</v>
      </c>
      <c r="F36" s="356" t="s">
        <v>0</v>
      </c>
      <c r="G36" s="371">
        <v>20000</v>
      </c>
      <c r="H36" s="371">
        <v>20000</v>
      </c>
      <c r="I36" s="371">
        <v>20000</v>
      </c>
    </row>
    <row r="37" spans="1:9">
      <c r="A37" s="354" t="s">
        <v>32</v>
      </c>
      <c r="B37" s="355" t="s">
        <v>33</v>
      </c>
      <c r="C37" s="364" t="s">
        <v>232</v>
      </c>
      <c r="D37" s="357">
        <v>13491.44</v>
      </c>
      <c r="E37" s="357">
        <v>13491</v>
      </c>
      <c r="F37" s="356" t="s">
        <v>0</v>
      </c>
      <c r="G37" s="371">
        <v>20000</v>
      </c>
      <c r="H37" s="371">
        <v>20000</v>
      </c>
      <c r="I37" s="371">
        <v>20000</v>
      </c>
    </row>
    <row r="38" spans="1:9">
      <c r="A38" s="350" t="s">
        <v>34</v>
      </c>
      <c r="B38" s="351" t="s">
        <v>35</v>
      </c>
      <c r="C38" s="364" t="s">
        <v>232</v>
      </c>
      <c r="D38" s="353" t="e">
        <f>D39+D40+D41+D42+D43+D44+D45+D46+D47+#REF!</f>
        <v>#REF!</v>
      </c>
      <c r="E38" s="353" t="e">
        <f>E39+E40+E41+E42+E43+E44+E45+E46+E47+#REF!</f>
        <v>#REF!</v>
      </c>
      <c r="F38" s="353"/>
      <c r="G38" s="353">
        <f>G39+G40+G41+G42+G43+G44+G45+G46+G47</f>
        <v>3958000</v>
      </c>
      <c r="H38" s="353">
        <f>H39+H40+H41+H42+H43+H44+H45+H46+H47</f>
        <v>3962000</v>
      </c>
      <c r="I38" s="353">
        <f>I39+I40+I41+I42+I43+I44+I45+I46+I47</f>
        <v>3992000</v>
      </c>
    </row>
    <row r="39" spans="1:9">
      <c r="A39" s="354" t="s">
        <v>36</v>
      </c>
      <c r="B39" s="355" t="s">
        <v>37</v>
      </c>
      <c r="C39" s="364" t="s">
        <v>232</v>
      </c>
      <c r="D39" s="357">
        <v>206690.43</v>
      </c>
      <c r="E39" s="357">
        <v>206690</v>
      </c>
      <c r="F39" s="356" t="s">
        <v>0</v>
      </c>
      <c r="G39" s="371">
        <v>539000</v>
      </c>
      <c r="H39" s="371">
        <v>550000</v>
      </c>
      <c r="I39" s="371">
        <v>570000</v>
      </c>
    </row>
    <row r="40" spans="1:9">
      <c r="A40" s="354" t="s">
        <v>38</v>
      </c>
      <c r="B40" s="355" t="s">
        <v>39</v>
      </c>
      <c r="C40" s="364" t="s">
        <v>232</v>
      </c>
      <c r="D40" s="357">
        <v>0</v>
      </c>
      <c r="E40" s="358">
        <v>-79057</v>
      </c>
      <c r="F40" s="356" t="s">
        <v>0</v>
      </c>
      <c r="G40" s="371">
        <v>825000</v>
      </c>
      <c r="H40" s="371">
        <v>830000</v>
      </c>
      <c r="I40" s="371">
        <v>835000</v>
      </c>
    </row>
    <row r="41" spans="1:9">
      <c r="A41" s="354" t="s">
        <v>40</v>
      </c>
      <c r="B41" s="355" t="s">
        <v>41</v>
      </c>
      <c r="C41" s="364" t="s">
        <v>232</v>
      </c>
      <c r="D41" s="357">
        <v>133373.04999999999</v>
      </c>
      <c r="E41" s="357">
        <v>133373</v>
      </c>
      <c r="F41" s="356" t="s">
        <v>0</v>
      </c>
      <c r="G41" s="371">
        <v>400000</v>
      </c>
      <c r="H41" s="371">
        <v>380000</v>
      </c>
      <c r="I41" s="371">
        <v>380000</v>
      </c>
    </row>
    <row r="42" spans="1:9">
      <c r="A42" s="354" t="s">
        <v>42</v>
      </c>
      <c r="B42" s="355" t="s">
        <v>43</v>
      </c>
      <c r="C42" s="364" t="s">
        <v>232</v>
      </c>
      <c r="D42" s="357">
        <v>323548.93</v>
      </c>
      <c r="E42" s="357">
        <v>323548</v>
      </c>
      <c r="F42" s="356" t="s">
        <v>0</v>
      </c>
      <c r="G42" s="371">
        <v>630000</v>
      </c>
      <c r="H42" s="371">
        <v>630000</v>
      </c>
      <c r="I42" s="371">
        <v>630000</v>
      </c>
    </row>
    <row r="43" spans="1:9">
      <c r="A43" s="354" t="s">
        <v>44</v>
      </c>
      <c r="B43" s="355" t="s">
        <v>45</v>
      </c>
      <c r="C43" s="364" t="s">
        <v>232</v>
      </c>
      <c r="D43" s="357">
        <v>193107.18</v>
      </c>
      <c r="E43" s="357">
        <v>193107</v>
      </c>
      <c r="F43" s="356" t="s">
        <v>0</v>
      </c>
      <c r="G43" s="371">
        <v>420000</v>
      </c>
      <c r="H43" s="371">
        <v>420000</v>
      </c>
      <c r="I43" s="371">
        <v>420000</v>
      </c>
    </row>
    <row r="44" spans="1:9">
      <c r="A44" s="354" t="s">
        <v>46</v>
      </c>
      <c r="B44" s="355" t="s">
        <v>47</v>
      </c>
      <c r="C44" s="364" t="s">
        <v>232</v>
      </c>
      <c r="D44" s="357">
        <v>0</v>
      </c>
      <c r="E44" s="358">
        <v>-5340</v>
      </c>
      <c r="F44" s="356" t="s">
        <v>0</v>
      </c>
      <c r="G44" s="371">
        <v>47000</v>
      </c>
      <c r="H44" s="371">
        <v>47000</v>
      </c>
      <c r="I44" s="371">
        <v>47000</v>
      </c>
    </row>
    <row r="45" spans="1:9">
      <c r="A45" s="354" t="s">
        <v>48</v>
      </c>
      <c r="B45" s="355" t="s">
        <v>49</v>
      </c>
      <c r="C45" s="364" t="s">
        <v>232</v>
      </c>
      <c r="D45" s="357">
        <f>880223.63-79057.34-5340</f>
        <v>795826.29</v>
      </c>
      <c r="E45" s="358">
        <v>880223</v>
      </c>
      <c r="F45" s="356" t="s">
        <v>0</v>
      </c>
      <c r="G45" s="515">
        <v>400000</v>
      </c>
      <c r="H45" s="515">
        <v>400000</v>
      </c>
      <c r="I45" s="515">
        <v>400000</v>
      </c>
    </row>
    <row r="46" spans="1:9">
      <c r="A46" s="354" t="s">
        <v>50</v>
      </c>
      <c r="B46" s="355" t="s">
        <v>51</v>
      </c>
      <c r="C46" s="364" t="s">
        <v>232</v>
      </c>
      <c r="D46" s="357">
        <v>21033.49</v>
      </c>
      <c r="E46" s="357">
        <v>21033</v>
      </c>
      <c r="F46" s="356" t="s">
        <v>0</v>
      </c>
      <c r="G46" s="371">
        <v>382000</v>
      </c>
      <c r="H46" s="371">
        <v>390000</v>
      </c>
      <c r="I46" s="371">
        <v>395000</v>
      </c>
    </row>
    <row r="47" spans="1:9">
      <c r="A47" s="354" t="s">
        <v>52</v>
      </c>
      <c r="B47" s="355" t="s">
        <v>53</v>
      </c>
      <c r="C47" s="364" t="s">
        <v>232</v>
      </c>
      <c r="D47" s="357">
        <v>161701.15</v>
      </c>
      <c r="E47" s="357">
        <v>161701</v>
      </c>
      <c r="F47" s="356" t="s">
        <v>0</v>
      </c>
      <c r="G47" s="371">
        <v>315000</v>
      </c>
      <c r="H47" s="371">
        <v>315000</v>
      </c>
      <c r="I47" s="371">
        <v>315000</v>
      </c>
    </row>
    <row r="48" spans="1:9">
      <c r="A48" s="350" t="s">
        <v>54</v>
      </c>
      <c r="B48" s="351" t="s">
        <v>55</v>
      </c>
      <c r="C48" s="364" t="s">
        <v>232</v>
      </c>
      <c r="D48" s="353">
        <f>SUM(D49:D50)</f>
        <v>20803.060000000001</v>
      </c>
      <c r="E48" s="353">
        <f>SUM(E49:E50)</f>
        <v>-62</v>
      </c>
      <c r="F48" s="353"/>
      <c r="G48" s="353">
        <f t="shared" ref="G48:I48" si="14">SUM(G49:G50)</f>
        <v>10000</v>
      </c>
      <c r="H48" s="353">
        <f t="shared" si="14"/>
        <v>10000</v>
      </c>
      <c r="I48" s="353">
        <f t="shared" si="14"/>
        <v>10000</v>
      </c>
    </row>
    <row r="49" spans="1:9">
      <c r="A49" s="354" t="s">
        <v>56</v>
      </c>
      <c r="B49" s="355" t="s">
        <v>55</v>
      </c>
      <c r="C49" s="364" t="s">
        <v>232</v>
      </c>
      <c r="D49" s="357">
        <v>20803.060000000001</v>
      </c>
      <c r="E49" s="357">
        <v>20803</v>
      </c>
      <c r="F49" s="356" t="s">
        <v>0</v>
      </c>
      <c r="G49" s="371">
        <v>10000</v>
      </c>
      <c r="H49" s="371">
        <v>10000</v>
      </c>
      <c r="I49" s="371">
        <v>10000</v>
      </c>
    </row>
    <row r="50" spans="1:9">
      <c r="A50" s="359">
        <v>3241</v>
      </c>
      <c r="B50" s="571" t="s">
        <v>55</v>
      </c>
      <c r="C50" s="572" t="s">
        <v>232</v>
      </c>
      <c r="D50" s="573">
        <v>0</v>
      </c>
      <c r="E50" s="573">
        <v>-20865</v>
      </c>
      <c r="F50" s="574" t="s">
        <v>264</v>
      </c>
      <c r="G50" s="575"/>
      <c r="H50" s="575"/>
      <c r="I50" s="575"/>
    </row>
    <row r="51" spans="1:9">
      <c r="A51" s="350" t="s">
        <v>57</v>
      </c>
      <c r="B51" s="351" t="s">
        <v>58</v>
      </c>
      <c r="C51" s="364" t="s">
        <v>232</v>
      </c>
      <c r="D51" s="353" t="e">
        <f>D52+D53+D54+D55+D56+D58+#REF!+D57</f>
        <v>#REF!</v>
      </c>
      <c r="E51" s="353" t="e">
        <f>E52+E53+E54+E55+E56+E58+#REF!+E57</f>
        <v>#REF!</v>
      </c>
      <c r="F51" s="353"/>
      <c r="G51" s="353">
        <f>G52+G53+G54+G55+G56+G58+G57</f>
        <v>582000</v>
      </c>
      <c r="H51" s="353">
        <f t="shared" ref="H51:I51" si="15">H52+H53+H54+H55+H56+H58+H57</f>
        <v>587000</v>
      </c>
      <c r="I51" s="353">
        <f t="shared" si="15"/>
        <v>592000</v>
      </c>
    </row>
    <row r="52" spans="1:9">
      <c r="A52" s="354" t="s">
        <v>59</v>
      </c>
      <c r="B52" s="355" t="s">
        <v>60</v>
      </c>
      <c r="C52" s="364" t="s">
        <v>232</v>
      </c>
      <c r="D52" s="357">
        <v>60830.77</v>
      </c>
      <c r="E52" s="357">
        <v>60830</v>
      </c>
      <c r="F52" s="356" t="s">
        <v>0</v>
      </c>
      <c r="G52" s="371">
        <v>20000</v>
      </c>
      <c r="H52" s="371">
        <v>25000</v>
      </c>
      <c r="I52" s="371">
        <v>30000</v>
      </c>
    </row>
    <row r="53" spans="1:9">
      <c r="A53" s="354" t="s">
        <v>61</v>
      </c>
      <c r="B53" s="355" t="s">
        <v>62</v>
      </c>
      <c r="C53" s="364" t="s">
        <v>232</v>
      </c>
      <c r="D53" s="357">
        <v>18125.509999999998</v>
      </c>
      <c r="E53" s="357">
        <v>18125</v>
      </c>
      <c r="F53" s="356" t="s">
        <v>0</v>
      </c>
      <c r="G53" s="371">
        <v>22000</v>
      </c>
      <c r="H53" s="371">
        <v>22000</v>
      </c>
      <c r="I53" s="371">
        <v>22000</v>
      </c>
    </row>
    <row r="54" spans="1:9">
      <c r="A54" s="354" t="s">
        <v>63</v>
      </c>
      <c r="B54" s="355" t="s">
        <v>64</v>
      </c>
      <c r="C54" s="364" t="s">
        <v>232</v>
      </c>
      <c r="D54" s="357">
        <v>14916.44</v>
      </c>
      <c r="E54" s="357">
        <v>14916</v>
      </c>
      <c r="F54" s="356" t="s">
        <v>0</v>
      </c>
      <c r="G54" s="371">
        <v>100000</v>
      </c>
      <c r="H54" s="371">
        <v>100000</v>
      </c>
      <c r="I54" s="371">
        <v>100000</v>
      </c>
    </row>
    <row r="55" spans="1:9">
      <c r="A55" s="354" t="s">
        <v>65</v>
      </c>
      <c r="B55" s="355" t="s">
        <v>66</v>
      </c>
      <c r="C55" s="364" t="s">
        <v>232</v>
      </c>
      <c r="D55" s="357">
        <v>25340.55</v>
      </c>
      <c r="E55" s="357">
        <v>25340</v>
      </c>
      <c r="F55" s="356" t="s">
        <v>0</v>
      </c>
      <c r="G55" s="371">
        <v>170000</v>
      </c>
      <c r="H55" s="371">
        <v>170000</v>
      </c>
      <c r="I55" s="371">
        <v>170000</v>
      </c>
    </row>
    <row r="56" spans="1:9">
      <c r="A56" s="354" t="s">
        <v>67</v>
      </c>
      <c r="B56" s="355" t="s">
        <v>68</v>
      </c>
      <c r="C56" s="364" t="s">
        <v>232</v>
      </c>
      <c r="D56" s="357">
        <v>0</v>
      </c>
      <c r="E56" s="358">
        <v>-4641</v>
      </c>
      <c r="F56" s="356" t="s">
        <v>0</v>
      </c>
      <c r="G56" s="371">
        <v>60000</v>
      </c>
      <c r="H56" s="371">
        <v>60000</v>
      </c>
      <c r="I56" s="371">
        <v>60000</v>
      </c>
    </row>
    <row r="57" spans="1:9">
      <c r="A57" s="354">
        <v>3296</v>
      </c>
      <c r="B57" s="355" t="s">
        <v>106</v>
      </c>
      <c r="C57" s="364" t="s">
        <v>232</v>
      </c>
      <c r="D57" s="357">
        <f>25000-4641.17</f>
        <v>20358.830000000002</v>
      </c>
      <c r="E57" s="358">
        <v>25000</v>
      </c>
      <c r="F57" s="356" t="s">
        <v>0</v>
      </c>
      <c r="G57" s="371">
        <v>200000</v>
      </c>
      <c r="H57" s="371">
        <v>200000</v>
      </c>
      <c r="I57" s="371">
        <v>200000</v>
      </c>
    </row>
    <row r="58" spans="1:9">
      <c r="A58" s="354" t="s">
        <v>69</v>
      </c>
      <c r="B58" s="355" t="s">
        <v>58</v>
      </c>
      <c r="C58" s="364" t="s">
        <v>232</v>
      </c>
      <c r="D58" s="357">
        <v>2760.08</v>
      </c>
      <c r="E58" s="357">
        <v>2760</v>
      </c>
      <c r="F58" s="356" t="s">
        <v>0</v>
      </c>
      <c r="G58" s="371">
        <v>10000</v>
      </c>
      <c r="H58" s="371">
        <v>10000</v>
      </c>
      <c r="I58" s="371">
        <v>10000</v>
      </c>
    </row>
    <row r="59" spans="1:9">
      <c r="A59" s="350" t="s">
        <v>70</v>
      </c>
      <c r="B59" s="351" t="s">
        <v>71</v>
      </c>
      <c r="C59" s="364" t="s">
        <v>232</v>
      </c>
      <c r="D59" s="353">
        <f>SUM(D60:D61)</f>
        <v>1054.3599999999999</v>
      </c>
      <c r="E59" s="353">
        <f>SUM(E60:E61)</f>
        <v>1054</v>
      </c>
      <c r="F59" s="353"/>
      <c r="G59" s="353">
        <f>SUM(G60:G61)</f>
        <v>5000</v>
      </c>
      <c r="H59" s="353">
        <f>SUM(H60:H61)</f>
        <v>5000</v>
      </c>
      <c r="I59" s="353">
        <f>SUM(I60:I61)</f>
        <v>5000</v>
      </c>
    </row>
    <row r="60" spans="1:9">
      <c r="A60" s="354" t="s">
        <v>72</v>
      </c>
      <c r="B60" s="355" t="s">
        <v>73</v>
      </c>
      <c r="C60" s="364" t="s">
        <v>232</v>
      </c>
      <c r="D60" s="357">
        <v>1054.3599999999999</v>
      </c>
      <c r="E60" s="357">
        <v>1054</v>
      </c>
      <c r="F60" s="356" t="s">
        <v>0</v>
      </c>
      <c r="G60" s="371">
        <v>5000</v>
      </c>
      <c r="H60" s="371">
        <v>5000</v>
      </c>
      <c r="I60" s="371">
        <v>5000</v>
      </c>
    </row>
    <row r="61" spans="1:9">
      <c r="A61" s="354" t="s">
        <v>76</v>
      </c>
      <c r="B61" s="355" t="s">
        <v>336</v>
      </c>
      <c r="C61" s="364" t="s">
        <v>232</v>
      </c>
      <c r="D61" s="357">
        <v>0</v>
      </c>
      <c r="E61" s="357">
        <v>0</v>
      </c>
      <c r="F61" s="356" t="s">
        <v>0</v>
      </c>
      <c r="G61" s="371">
        <v>0</v>
      </c>
      <c r="H61" s="371">
        <v>0</v>
      </c>
      <c r="I61" s="371">
        <v>0</v>
      </c>
    </row>
    <row r="62" spans="1:9">
      <c r="A62" s="362">
        <v>411</v>
      </c>
      <c r="B62" s="351" t="s">
        <v>426</v>
      </c>
      <c r="C62" s="364" t="s">
        <v>232</v>
      </c>
      <c r="D62" s="357"/>
      <c r="E62" s="357"/>
      <c r="F62" s="356"/>
      <c r="G62" s="361">
        <f>G63</f>
        <v>550000</v>
      </c>
      <c r="H62" s="361">
        <f t="shared" ref="H62:I62" si="16">H63</f>
        <v>0</v>
      </c>
      <c r="I62" s="361">
        <f t="shared" si="16"/>
        <v>0</v>
      </c>
    </row>
    <row r="63" spans="1:9">
      <c r="A63" s="369">
        <v>4111</v>
      </c>
      <c r="B63" s="367" t="s">
        <v>427</v>
      </c>
      <c r="C63" s="364" t="s">
        <v>232</v>
      </c>
      <c r="D63" s="357"/>
      <c r="E63" s="357"/>
      <c r="F63" s="356" t="s">
        <v>0</v>
      </c>
      <c r="G63" s="371">
        <v>550000</v>
      </c>
      <c r="H63" s="371">
        <v>0</v>
      </c>
      <c r="I63" s="371">
        <v>0</v>
      </c>
    </row>
    <row r="64" spans="1:9">
      <c r="A64" s="350" t="s">
        <v>83</v>
      </c>
      <c r="B64" s="351" t="s">
        <v>84</v>
      </c>
      <c r="C64" s="364" t="s">
        <v>232</v>
      </c>
      <c r="D64" s="361">
        <f>SUM(D65)</f>
        <v>56500</v>
      </c>
      <c r="E64" s="361">
        <f>SUM(E65)</f>
        <v>56500</v>
      </c>
      <c r="F64" s="361"/>
      <c r="G64" s="361">
        <f t="shared" ref="G64:I64" si="17">SUM(G65)</f>
        <v>95000</v>
      </c>
      <c r="H64" s="361">
        <f t="shared" si="17"/>
        <v>95000</v>
      </c>
      <c r="I64" s="361">
        <f t="shared" si="17"/>
        <v>95000</v>
      </c>
    </row>
    <row r="65" spans="1:9">
      <c r="A65" s="354" t="s">
        <v>85</v>
      </c>
      <c r="B65" s="355" t="s">
        <v>86</v>
      </c>
      <c r="C65" s="364" t="s">
        <v>232</v>
      </c>
      <c r="D65" s="357">
        <v>56500</v>
      </c>
      <c r="E65" s="357">
        <v>56500</v>
      </c>
      <c r="F65" s="356" t="s">
        <v>0</v>
      </c>
      <c r="G65" s="371">
        <v>95000</v>
      </c>
      <c r="H65" s="371">
        <v>95000</v>
      </c>
      <c r="I65" s="371">
        <v>95000</v>
      </c>
    </row>
    <row r="66" spans="1:9">
      <c r="A66" s="350" t="s">
        <v>88</v>
      </c>
      <c r="B66" s="351" t="s">
        <v>89</v>
      </c>
      <c r="C66" s="364" t="s">
        <v>232</v>
      </c>
      <c r="D66" s="361">
        <f>SUM(D67:D68)</f>
        <v>196142.5</v>
      </c>
      <c r="E66" s="361">
        <f>SUM(E67:E68)</f>
        <v>196142</v>
      </c>
      <c r="F66" s="361"/>
      <c r="G66" s="361">
        <f t="shared" ref="G66:I66" si="18">SUM(G67:G68)</f>
        <v>220000</v>
      </c>
      <c r="H66" s="361">
        <f t="shared" si="18"/>
        <v>225000</v>
      </c>
      <c r="I66" s="361">
        <f t="shared" si="18"/>
        <v>225000</v>
      </c>
    </row>
    <row r="67" spans="1:9">
      <c r="A67" s="354" t="s">
        <v>90</v>
      </c>
      <c r="B67" s="355" t="s">
        <v>91</v>
      </c>
      <c r="C67" s="364" t="s">
        <v>232</v>
      </c>
      <c r="D67" s="357">
        <v>182097.5</v>
      </c>
      <c r="E67" s="357">
        <v>182097</v>
      </c>
      <c r="F67" s="356" t="s">
        <v>0</v>
      </c>
      <c r="G67" s="371">
        <v>200000</v>
      </c>
      <c r="H67" s="371">
        <v>200000</v>
      </c>
      <c r="I67" s="371">
        <v>200000</v>
      </c>
    </row>
    <row r="68" spans="1:9">
      <c r="A68" s="354" t="s">
        <v>92</v>
      </c>
      <c r="B68" s="355" t="s">
        <v>93</v>
      </c>
      <c r="C68" s="364" t="s">
        <v>232</v>
      </c>
      <c r="D68" s="357">
        <v>14045</v>
      </c>
      <c r="E68" s="357">
        <v>14045</v>
      </c>
      <c r="F68" s="356" t="s">
        <v>0</v>
      </c>
      <c r="G68" s="371">
        <v>20000</v>
      </c>
      <c r="H68" s="371">
        <v>25000</v>
      </c>
      <c r="I68" s="371">
        <v>25000</v>
      </c>
    </row>
    <row r="69" spans="1:9">
      <c r="A69" s="362">
        <v>426</v>
      </c>
      <c r="B69" s="351" t="s">
        <v>181</v>
      </c>
      <c r="C69" s="364" t="s">
        <v>232</v>
      </c>
      <c r="D69" s="361">
        <f>SUM(D70)</f>
        <v>217500</v>
      </c>
      <c r="E69" s="361">
        <f>SUM(E70)</f>
        <v>217500</v>
      </c>
      <c r="F69" s="361"/>
      <c r="G69" s="361">
        <f t="shared" ref="G69:I69" si="19">SUM(G70)</f>
        <v>280000</v>
      </c>
      <c r="H69" s="361">
        <f t="shared" si="19"/>
        <v>280000</v>
      </c>
      <c r="I69" s="361">
        <f t="shared" si="19"/>
        <v>280000</v>
      </c>
    </row>
    <row r="70" spans="1:9">
      <c r="A70" s="354">
        <v>4262</v>
      </c>
      <c r="B70" s="355" t="s">
        <v>182</v>
      </c>
      <c r="C70" s="364" t="s">
        <v>232</v>
      </c>
      <c r="D70" s="357">
        <v>217500</v>
      </c>
      <c r="E70" s="357">
        <v>217500</v>
      </c>
      <c r="F70" s="356" t="s">
        <v>0</v>
      </c>
      <c r="G70" s="371">
        <v>280000</v>
      </c>
      <c r="H70" s="371">
        <v>280000</v>
      </c>
      <c r="I70" s="371">
        <v>280000</v>
      </c>
    </row>
    <row r="71" spans="1:9">
      <c r="A71" s="362">
        <v>547</v>
      </c>
      <c r="B71" s="351" t="s">
        <v>337</v>
      </c>
      <c r="C71" s="364" t="s">
        <v>232</v>
      </c>
      <c r="D71" s="361">
        <f>SUM(D72)</f>
        <v>1475122.19</v>
      </c>
      <c r="E71" s="361">
        <f>SUM(E72)</f>
        <v>1475122</v>
      </c>
      <c r="F71" s="361"/>
      <c r="G71" s="361">
        <f t="shared" ref="G71:I71" si="20">SUM(G72)</f>
        <v>0</v>
      </c>
      <c r="H71" s="361">
        <f t="shared" si="20"/>
        <v>0</v>
      </c>
      <c r="I71" s="361">
        <f t="shared" si="20"/>
        <v>0</v>
      </c>
    </row>
    <row r="72" spans="1:9">
      <c r="A72" s="507">
        <v>5471</v>
      </c>
      <c r="B72" s="508" t="s">
        <v>300</v>
      </c>
      <c r="C72" s="364" t="s">
        <v>232</v>
      </c>
      <c r="D72" s="357">
        <v>1475122.19</v>
      </c>
      <c r="E72" s="357">
        <v>1475122</v>
      </c>
      <c r="F72" s="356" t="s">
        <v>0</v>
      </c>
      <c r="G72" s="371">
        <v>0</v>
      </c>
      <c r="H72" s="371">
        <v>0</v>
      </c>
      <c r="I72" s="516">
        <v>0</v>
      </c>
    </row>
    <row r="73" spans="1:9" hidden="1">
      <c r="A73" s="346" t="s">
        <v>338</v>
      </c>
      <c r="B73" s="347" t="s">
        <v>339</v>
      </c>
      <c r="C73" s="348"/>
      <c r="D73" s="349">
        <f>D74+D77</f>
        <v>5000000</v>
      </c>
      <c r="E73" s="349">
        <f>E74+E77</f>
        <v>5000000</v>
      </c>
      <c r="F73" s="349"/>
      <c r="G73" s="349">
        <f t="shared" ref="G73:I73" si="21">G74+G77</f>
        <v>0</v>
      </c>
      <c r="H73" s="349">
        <f t="shared" si="21"/>
        <v>0</v>
      </c>
      <c r="I73" s="349">
        <f t="shared" si="21"/>
        <v>0</v>
      </c>
    </row>
    <row r="74" spans="1:9" hidden="1">
      <c r="A74" s="350" t="s">
        <v>196</v>
      </c>
      <c r="B74" s="351" t="s">
        <v>340</v>
      </c>
      <c r="C74" s="352" t="s">
        <v>326</v>
      </c>
      <c r="D74" s="353">
        <f>SUM(D75:D76)</f>
        <v>0</v>
      </c>
      <c r="E74" s="353">
        <f>SUM(E75:E76)</f>
        <v>0</v>
      </c>
      <c r="F74" s="353"/>
      <c r="G74" s="353">
        <f t="shared" ref="G74:I74" si="22">SUM(G75:G76)</f>
        <v>0</v>
      </c>
      <c r="H74" s="353">
        <f t="shared" si="22"/>
        <v>0</v>
      </c>
      <c r="I74" s="353">
        <f t="shared" si="22"/>
        <v>0</v>
      </c>
    </row>
    <row r="75" spans="1:9" hidden="1">
      <c r="A75" s="354">
        <v>3522</v>
      </c>
      <c r="B75" s="355" t="s">
        <v>198</v>
      </c>
      <c r="C75" s="356" t="s">
        <v>326</v>
      </c>
      <c r="D75" s="357">
        <v>0</v>
      </c>
      <c r="E75" s="357">
        <v>0</v>
      </c>
      <c r="F75" s="356" t="s">
        <v>0</v>
      </c>
      <c r="G75" s="371">
        <v>0</v>
      </c>
      <c r="H75" s="371">
        <v>0</v>
      </c>
      <c r="I75" s="371">
        <v>0</v>
      </c>
    </row>
    <row r="76" spans="1:9" hidden="1">
      <c r="A76" s="354">
        <v>3523</v>
      </c>
      <c r="B76" s="355" t="s">
        <v>341</v>
      </c>
      <c r="C76" s="356" t="s">
        <v>326</v>
      </c>
      <c r="D76" s="357">
        <v>0</v>
      </c>
      <c r="E76" s="357">
        <v>0</v>
      </c>
      <c r="F76" s="356" t="s">
        <v>0</v>
      </c>
      <c r="G76" s="371">
        <v>0</v>
      </c>
      <c r="H76" s="371">
        <v>0</v>
      </c>
      <c r="I76" s="371">
        <v>0</v>
      </c>
    </row>
    <row r="77" spans="1:9" hidden="1">
      <c r="A77" s="350" t="s">
        <v>342</v>
      </c>
      <c r="B77" s="351" t="s">
        <v>343</v>
      </c>
      <c r="C77" s="352" t="s">
        <v>232</v>
      </c>
      <c r="D77" s="353">
        <f>D78+D79</f>
        <v>5000000</v>
      </c>
      <c r="E77" s="353">
        <f>E78+E79</f>
        <v>5000000</v>
      </c>
      <c r="F77" s="353"/>
      <c r="G77" s="353">
        <f t="shared" ref="G77:I77" si="23">G78+G79</f>
        <v>0</v>
      </c>
      <c r="H77" s="353">
        <f t="shared" si="23"/>
        <v>0</v>
      </c>
      <c r="I77" s="353">
        <f t="shared" si="23"/>
        <v>0</v>
      </c>
    </row>
    <row r="78" spans="1:9" hidden="1">
      <c r="A78" s="354">
        <v>5163</v>
      </c>
      <c r="B78" s="355" t="s">
        <v>344</v>
      </c>
      <c r="C78" s="364" t="s">
        <v>232</v>
      </c>
      <c r="D78" s="365">
        <v>4000000</v>
      </c>
      <c r="E78" s="365">
        <v>4000000</v>
      </c>
      <c r="F78" s="364" t="s">
        <v>0</v>
      </c>
      <c r="G78" s="365">
        <v>0</v>
      </c>
      <c r="H78" s="365">
        <v>0</v>
      </c>
      <c r="I78" s="365">
        <v>0</v>
      </c>
    </row>
    <row r="79" spans="1:9" hidden="1">
      <c r="A79" s="354">
        <v>5164</v>
      </c>
      <c r="B79" s="355" t="s">
        <v>345</v>
      </c>
      <c r="C79" s="356" t="s">
        <v>232</v>
      </c>
      <c r="D79" s="357">
        <v>1000000</v>
      </c>
      <c r="E79" s="357">
        <v>1000000</v>
      </c>
      <c r="F79" s="356" t="s">
        <v>0</v>
      </c>
      <c r="G79" s="371">
        <v>0</v>
      </c>
      <c r="H79" s="371">
        <v>0</v>
      </c>
      <c r="I79" s="365">
        <v>0</v>
      </c>
    </row>
    <row r="80" spans="1:9">
      <c r="A80" s="346" t="s">
        <v>382</v>
      </c>
      <c r="B80" s="347" t="s">
        <v>368</v>
      </c>
      <c r="C80" s="348" t="s">
        <v>232</v>
      </c>
      <c r="D80" s="349">
        <f>D81+D84+D89+D91+D94+D96</f>
        <v>6190513.7400000002</v>
      </c>
      <c r="E80" s="349">
        <f>E81+E84+E89+E91+E94+E96</f>
        <v>6190514</v>
      </c>
      <c r="F80" s="349"/>
      <c r="G80" s="349">
        <f>G81+G84+G89+G91+G94+G96</f>
        <v>11875000</v>
      </c>
      <c r="H80" s="349">
        <f t="shared" ref="H80:I80" si="24">H81+H84+H89+H91+H94+H96</f>
        <v>28575000</v>
      </c>
      <c r="I80" s="349">
        <f t="shared" si="24"/>
        <v>27575000</v>
      </c>
    </row>
    <row r="81" spans="1:9">
      <c r="A81" s="350" t="s">
        <v>16</v>
      </c>
      <c r="B81" s="351" t="s">
        <v>17</v>
      </c>
      <c r="C81" s="364" t="s">
        <v>232</v>
      </c>
      <c r="D81" s="353">
        <f>D82+D83</f>
        <v>336887.5</v>
      </c>
      <c r="E81" s="353">
        <f>E82+E83</f>
        <v>336887</v>
      </c>
      <c r="F81" s="353"/>
      <c r="G81" s="353">
        <f t="shared" ref="G81:I81" si="25">G82+G83</f>
        <v>125000</v>
      </c>
      <c r="H81" s="353">
        <f t="shared" si="25"/>
        <v>125000</v>
      </c>
      <c r="I81" s="353">
        <f t="shared" si="25"/>
        <v>125000</v>
      </c>
    </row>
    <row r="82" spans="1:9">
      <c r="A82" s="366" t="s">
        <v>18</v>
      </c>
      <c r="B82" s="367" t="s">
        <v>19</v>
      </c>
      <c r="C82" s="364" t="s">
        <v>232</v>
      </c>
      <c r="D82" s="365">
        <v>236887.5</v>
      </c>
      <c r="E82" s="365">
        <v>236887</v>
      </c>
      <c r="F82" s="364" t="s">
        <v>334</v>
      </c>
      <c r="G82" s="365">
        <v>75000</v>
      </c>
      <c r="H82" s="365">
        <v>75000</v>
      </c>
      <c r="I82" s="365">
        <v>75000</v>
      </c>
    </row>
    <row r="83" spans="1:9">
      <c r="A83" s="366" t="s">
        <v>22</v>
      </c>
      <c r="B83" s="367" t="s">
        <v>23</v>
      </c>
      <c r="C83" s="364" t="s">
        <v>232</v>
      </c>
      <c r="D83" s="365">
        <f>100000</f>
        <v>100000</v>
      </c>
      <c r="E83" s="365">
        <v>100000</v>
      </c>
      <c r="F83" s="364" t="s">
        <v>334</v>
      </c>
      <c r="G83" s="365">
        <v>50000</v>
      </c>
      <c r="H83" s="365">
        <v>50000</v>
      </c>
      <c r="I83" s="365">
        <v>50000</v>
      </c>
    </row>
    <row r="84" spans="1:9">
      <c r="A84" s="350" t="s">
        <v>34</v>
      </c>
      <c r="B84" s="351" t="s">
        <v>35</v>
      </c>
      <c r="C84" s="364" t="s">
        <v>232</v>
      </c>
      <c r="D84" s="353">
        <f>D85+D86+D87+D88</f>
        <v>906875</v>
      </c>
      <c r="E84" s="353">
        <f>E85+E86+E87+E88</f>
        <v>906875</v>
      </c>
      <c r="F84" s="353"/>
      <c r="G84" s="353">
        <f t="shared" ref="G84:I84" si="26">G85+G86+G87+G88</f>
        <v>925000</v>
      </c>
      <c r="H84" s="353">
        <f t="shared" si="26"/>
        <v>875000</v>
      </c>
      <c r="I84" s="353">
        <f t="shared" si="26"/>
        <v>875000</v>
      </c>
    </row>
    <row r="85" spans="1:9">
      <c r="A85" s="366" t="s">
        <v>40</v>
      </c>
      <c r="B85" s="367" t="s">
        <v>41</v>
      </c>
      <c r="C85" s="364" t="s">
        <v>232</v>
      </c>
      <c r="D85" s="365">
        <v>112500</v>
      </c>
      <c r="E85" s="365">
        <v>112500</v>
      </c>
      <c r="F85" s="364" t="s">
        <v>334</v>
      </c>
      <c r="G85" s="365">
        <v>75000</v>
      </c>
      <c r="H85" s="365">
        <v>75000</v>
      </c>
      <c r="I85" s="365">
        <v>75000</v>
      </c>
    </row>
    <row r="86" spans="1:9">
      <c r="A86" s="366" t="s">
        <v>44</v>
      </c>
      <c r="B86" s="367" t="s">
        <v>45</v>
      </c>
      <c r="C86" s="364" t="s">
        <v>232</v>
      </c>
      <c r="D86" s="365">
        <f>975000-180625</f>
        <v>794375</v>
      </c>
      <c r="E86" s="368">
        <v>975000</v>
      </c>
      <c r="F86" s="364" t="s">
        <v>334</v>
      </c>
      <c r="G86" s="365">
        <v>0</v>
      </c>
      <c r="H86" s="365">
        <v>0</v>
      </c>
      <c r="I86" s="365">
        <v>0</v>
      </c>
    </row>
    <row r="87" spans="1:9">
      <c r="A87" s="366" t="s">
        <v>48</v>
      </c>
      <c r="B87" s="367" t="s">
        <v>49</v>
      </c>
      <c r="C87" s="364" t="s">
        <v>232</v>
      </c>
      <c r="D87" s="365">
        <v>0</v>
      </c>
      <c r="E87" s="368">
        <v>-180625</v>
      </c>
      <c r="F87" s="364" t="s">
        <v>334</v>
      </c>
      <c r="G87" s="365">
        <v>850000</v>
      </c>
      <c r="H87" s="365">
        <v>800000</v>
      </c>
      <c r="I87" s="365">
        <v>800000</v>
      </c>
    </row>
    <row r="88" spans="1:9">
      <c r="A88" s="366" t="s">
        <v>52</v>
      </c>
      <c r="B88" s="367" t="s">
        <v>53</v>
      </c>
      <c r="C88" s="364" t="s">
        <v>232</v>
      </c>
      <c r="D88" s="365">
        <v>0</v>
      </c>
      <c r="E88" s="365">
        <v>0</v>
      </c>
      <c r="F88" s="364" t="s">
        <v>334</v>
      </c>
      <c r="G88" s="365">
        <v>0</v>
      </c>
      <c r="H88" s="365">
        <v>0</v>
      </c>
      <c r="I88" s="365">
        <v>0</v>
      </c>
    </row>
    <row r="89" spans="1:9">
      <c r="A89" s="362" t="s">
        <v>54</v>
      </c>
      <c r="B89" s="351" t="s">
        <v>55</v>
      </c>
      <c r="C89" s="364" t="s">
        <v>232</v>
      </c>
      <c r="D89" s="353">
        <f>D90</f>
        <v>150000</v>
      </c>
      <c r="E89" s="353">
        <f>E90</f>
        <v>150000</v>
      </c>
      <c r="F89" s="353"/>
      <c r="G89" s="353">
        <f t="shared" ref="G89:I89" si="27">G90</f>
        <v>75000</v>
      </c>
      <c r="H89" s="353">
        <f t="shared" si="27"/>
        <v>75000</v>
      </c>
      <c r="I89" s="353">
        <f t="shared" si="27"/>
        <v>75000</v>
      </c>
    </row>
    <row r="90" spans="1:9">
      <c r="A90" s="369" t="s">
        <v>56</v>
      </c>
      <c r="B90" s="367" t="s">
        <v>55</v>
      </c>
      <c r="C90" s="364" t="s">
        <v>232</v>
      </c>
      <c r="D90" s="365">
        <v>150000</v>
      </c>
      <c r="E90" s="365">
        <v>150000</v>
      </c>
      <c r="F90" s="364" t="s">
        <v>334</v>
      </c>
      <c r="G90" s="365">
        <v>75000</v>
      </c>
      <c r="H90" s="365">
        <v>75000</v>
      </c>
      <c r="I90" s="365">
        <v>75000</v>
      </c>
    </row>
    <row r="91" spans="1:9">
      <c r="A91" s="362" t="s">
        <v>57</v>
      </c>
      <c r="B91" s="351" t="s">
        <v>58</v>
      </c>
      <c r="C91" s="364" t="s">
        <v>232</v>
      </c>
      <c r="D91" s="353">
        <f>D92+D93</f>
        <v>296751.24</v>
      </c>
      <c r="E91" s="353">
        <f>E92+E93</f>
        <v>296752</v>
      </c>
      <c r="F91" s="353"/>
      <c r="G91" s="353">
        <f t="shared" ref="G91:I91" si="28">G92+G93</f>
        <v>0</v>
      </c>
      <c r="H91" s="353">
        <f t="shared" si="28"/>
        <v>0</v>
      </c>
      <c r="I91" s="365">
        <f t="shared" si="28"/>
        <v>0</v>
      </c>
    </row>
    <row r="92" spans="1:9">
      <c r="A92" s="366" t="s">
        <v>59</v>
      </c>
      <c r="B92" s="367" t="s">
        <v>60</v>
      </c>
      <c r="C92" s="364" t="s">
        <v>232</v>
      </c>
      <c r="D92" s="365">
        <f>300000-3248.76</f>
        <v>296751.24</v>
      </c>
      <c r="E92" s="368">
        <v>300000</v>
      </c>
      <c r="F92" s="364" t="s">
        <v>334</v>
      </c>
      <c r="G92" s="365">
        <v>0</v>
      </c>
      <c r="H92" s="365">
        <v>0</v>
      </c>
      <c r="I92" s="365">
        <v>0</v>
      </c>
    </row>
    <row r="93" spans="1:9">
      <c r="A93" s="366" t="s">
        <v>63</v>
      </c>
      <c r="B93" s="367" t="s">
        <v>64</v>
      </c>
      <c r="C93" s="364" t="s">
        <v>232</v>
      </c>
      <c r="D93" s="365">
        <v>0</v>
      </c>
      <c r="E93" s="368">
        <v>-3248</v>
      </c>
      <c r="F93" s="364" t="s">
        <v>334</v>
      </c>
      <c r="G93" s="365">
        <v>0</v>
      </c>
      <c r="H93" s="365">
        <v>0</v>
      </c>
      <c r="I93" s="365">
        <v>0</v>
      </c>
    </row>
    <row r="94" spans="1:9">
      <c r="A94" s="350" t="s">
        <v>342</v>
      </c>
      <c r="B94" s="351" t="s">
        <v>343</v>
      </c>
      <c r="C94" s="364" t="s">
        <v>232</v>
      </c>
      <c r="D94" s="353">
        <f>D95</f>
        <v>3500000</v>
      </c>
      <c r="E94" s="353">
        <f>E95</f>
        <v>3500000</v>
      </c>
      <c r="F94" s="353"/>
      <c r="G94" s="353">
        <f t="shared" ref="G94:I94" si="29">G95</f>
        <v>4000000</v>
      </c>
      <c r="H94" s="353">
        <f t="shared" si="29"/>
        <v>4500000</v>
      </c>
      <c r="I94" s="353">
        <f t="shared" si="29"/>
        <v>3500000</v>
      </c>
    </row>
    <row r="95" spans="1:9">
      <c r="A95" s="507">
        <v>5163</v>
      </c>
      <c r="B95" s="508" t="s">
        <v>344</v>
      </c>
      <c r="C95" s="364" t="s">
        <v>232</v>
      </c>
      <c r="D95" s="365">
        <v>3500000</v>
      </c>
      <c r="E95" s="365">
        <v>3500000</v>
      </c>
      <c r="F95" s="364" t="s">
        <v>334</v>
      </c>
      <c r="G95" s="365">
        <v>4000000</v>
      </c>
      <c r="H95" s="365">
        <v>4500000</v>
      </c>
      <c r="I95" s="365">
        <v>3500000</v>
      </c>
    </row>
    <row r="96" spans="1:9">
      <c r="A96" s="362">
        <v>534</v>
      </c>
      <c r="B96" s="351" t="s">
        <v>365</v>
      </c>
      <c r="C96" s="364" t="s">
        <v>232</v>
      </c>
      <c r="D96" s="361">
        <f>D97</f>
        <v>1000000</v>
      </c>
      <c r="E96" s="361">
        <f>E97</f>
        <v>1000000</v>
      </c>
      <c r="F96" s="361"/>
      <c r="G96" s="361">
        <f t="shared" ref="G96:I96" si="30">G97</f>
        <v>6750000</v>
      </c>
      <c r="H96" s="361">
        <f t="shared" si="30"/>
        <v>23000000</v>
      </c>
      <c r="I96" s="361">
        <f t="shared" si="30"/>
        <v>23000000</v>
      </c>
    </row>
    <row r="97" spans="1:10">
      <c r="A97" s="510">
        <v>5341</v>
      </c>
      <c r="B97" s="512" t="s">
        <v>365</v>
      </c>
      <c r="C97" s="364" t="s">
        <v>232</v>
      </c>
      <c r="D97" s="371">
        <v>1000000</v>
      </c>
      <c r="E97" s="371">
        <v>1000000</v>
      </c>
      <c r="F97" s="370" t="s">
        <v>334</v>
      </c>
      <c r="G97" s="371">
        <v>6750000</v>
      </c>
      <c r="H97" s="371">
        <v>23000000</v>
      </c>
      <c r="I97" s="371">
        <v>23000000</v>
      </c>
    </row>
    <row r="98" spans="1:10">
      <c r="A98" s="346" t="s">
        <v>383</v>
      </c>
      <c r="B98" s="347" t="s">
        <v>346</v>
      </c>
      <c r="C98" s="348" t="s">
        <v>232</v>
      </c>
      <c r="D98" s="349">
        <f>D99</f>
        <v>11885374.999999998</v>
      </c>
      <c r="E98" s="349">
        <f>E99</f>
        <v>11885375</v>
      </c>
      <c r="F98" s="349"/>
      <c r="G98" s="349">
        <f>G99</f>
        <v>70000000</v>
      </c>
      <c r="H98" s="349">
        <f t="shared" ref="H98:I98" si="31">H99</f>
        <v>80000000</v>
      </c>
      <c r="I98" s="349">
        <f t="shared" si="31"/>
        <v>75000000</v>
      </c>
    </row>
    <row r="99" spans="1:10">
      <c r="A99" s="350" t="s">
        <v>342</v>
      </c>
      <c r="B99" s="351" t="s">
        <v>343</v>
      </c>
      <c r="C99" s="356" t="s">
        <v>232</v>
      </c>
      <c r="D99" s="361">
        <f>D100+D101</f>
        <v>11885374.999999998</v>
      </c>
      <c r="E99" s="361">
        <f>E100+E101</f>
        <v>11885375</v>
      </c>
      <c r="F99" s="361"/>
      <c r="G99" s="361">
        <f t="shared" ref="G99:I99" si="32">G100+G101</f>
        <v>70000000</v>
      </c>
      <c r="H99" s="361">
        <f t="shared" si="32"/>
        <v>80000000</v>
      </c>
      <c r="I99" s="361">
        <f t="shared" si="32"/>
        <v>75000000</v>
      </c>
    </row>
    <row r="100" spans="1:10">
      <c r="A100" s="507">
        <v>5163</v>
      </c>
      <c r="B100" s="508" t="s">
        <v>344</v>
      </c>
      <c r="C100" s="356" t="s">
        <v>232</v>
      </c>
      <c r="D100" s="357">
        <v>10000000</v>
      </c>
      <c r="E100" s="358">
        <v>-8741146</v>
      </c>
      <c r="F100" s="356" t="s">
        <v>0</v>
      </c>
      <c r="G100" s="371">
        <v>30000000</v>
      </c>
      <c r="H100" s="371">
        <v>40000000</v>
      </c>
      <c r="I100" s="371">
        <v>35000000</v>
      </c>
    </row>
    <row r="101" spans="1:10">
      <c r="A101" s="507">
        <v>5164</v>
      </c>
      <c r="B101" s="508" t="s">
        <v>345</v>
      </c>
      <c r="C101" s="356" t="s">
        <v>232</v>
      </c>
      <c r="D101" s="357">
        <f>20626521.15-8741146.15-10000000</f>
        <v>1885374.9999999981</v>
      </c>
      <c r="E101" s="358">
        <v>20626521</v>
      </c>
      <c r="F101" s="356" t="s">
        <v>0</v>
      </c>
      <c r="G101" s="371">
        <v>40000000</v>
      </c>
      <c r="H101" s="371">
        <v>40000000</v>
      </c>
      <c r="I101" s="371">
        <v>40000000</v>
      </c>
    </row>
    <row r="102" spans="1:10">
      <c r="A102" s="346" t="s">
        <v>384</v>
      </c>
      <c r="B102" s="347" t="s">
        <v>358</v>
      </c>
      <c r="C102" s="348" t="s">
        <v>232</v>
      </c>
      <c r="D102" s="349">
        <f>D103+D108+D111+D116+D130+D147+D150+D155+D158+D161+D166+D169+D123</f>
        <v>18656977.130000003</v>
      </c>
      <c r="E102" s="349">
        <f>E103+E108+E111+E116+E130+E147+E150+E155+E158+E161+E166+E169+E123</f>
        <v>22399905</v>
      </c>
      <c r="F102" s="349"/>
      <c r="G102" s="349">
        <f>G103+G108+G111+G116+G130+G147+G150+G155+G158+G161+G166+G169+G123</f>
        <v>25486450</v>
      </c>
      <c r="H102" s="349">
        <f>H103+H108+H111+H116+H130+H147+H150+H155+H158+H161+H166+H169+H123</f>
        <v>31956783</v>
      </c>
      <c r="I102" s="349">
        <f>I103+I108+I111+I116+I130+I147+I150+I155+I158+I161+I166+I169+I123</f>
        <v>31956783</v>
      </c>
    </row>
    <row r="103" spans="1:10">
      <c r="A103" s="350" t="s">
        <v>1</v>
      </c>
      <c r="B103" s="351" t="s">
        <v>2</v>
      </c>
      <c r="C103" s="364" t="s">
        <v>232</v>
      </c>
      <c r="D103" s="353">
        <f>SUM(D104:D107)</f>
        <v>4057522.5599999996</v>
      </c>
      <c r="E103" s="353">
        <f>SUM(E104:E107)</f>
        <v>4907521</v>
      </c>
      <c r="F103" s="353"/>
      <c r="G103" s="353">
        <f t="shared" ref="G103:H103" si="33">SUM(G104:G107)</f>
        <v>17110145</v>
      </c>
      <c r="H103" s="353">
        <f t="shared" si="33"/>
        <v>20708345</v>
      </c>
      <c r="I103" s="353">
        <f>I104+I105+I106+I107</f>
        <v>21129522</v>
      </c>
    </row>
    <row r="104" spans="1:10">
      <c r="A104" s="354" t="s">
        <v>3</v>
      </c>
      <c r="B104" s="355" t="s">
        <v>4</v>
      </c>
      <c r="C104" s="364" t="s">
        <v>232</v>
      </c>
      <c r="D104" s="365">
        <f>707664.76</f>
        <v>707664.76</v>
      </c>
      <c r="E104" s="365">
        <v>707664</v>
      </c>
      <c r="F104" s="364" t="s">
        <v>82</v>
      </c>
      <c r="G104" s="365">
        <v>3904300</v>
      </c>
      <c r="H104" s="365">
        <v>4552567</v>
      </c>
      <c r="I104" s="365">
        <v>4608686</v>
      </c>
    </row>
    <row r="105" spans="1:10">
      <c r="A105" s="354" t="s">
        <v>3</v>
      </c>
      <c r="B105" s="355" t="s">
        <v>4</v>
      </c>
      <c r="C105" s="364" t="s">
        <v>232</v>
      </c>
      <c r="D105" s="365">
        <f>4010095.29-850000</f>
        <v>3160095.29</v>
      </c>
      <c r="E105" s="365">
        <v>4010095</v>
      </c>
      <c r="F105" s="364" t="s">
        <v>234</v>
      </c>
      <c r="G105" s="365">
        <v>12805526</v>
      </c>
      <c r="H105" s="365">
        <v>15738654</v>
      </c>
      <c r="I105" s="365">
        <v>16056654</v>
      </c>
    </row>
    <row r="106" spans="1:10">
      <c r="A106" s="366" t="s">
        <v>5</v>
      </c>
      <c r="B106" s="367" t="s">
        <v>6</v>
      </c>
      <c r="C106" s="364" t="s">
        <v>232</v>
      </c>
      <c r="D106" s="365">
        <v>28464.38</v>
      </c>
      <c r="E106" s="365">
        <v>28464</v>
      </c>
      <c r="F106" s="364" t="s">
        <v>82</v>
      </c>
      <c r="G106" s="365">
        <v>70616</v>
      </c>
      <c r="H106" s="365">
        <v>62569</v>
      </c>
      <c r="I106" s="365">
        <v>69627</v>
      </c>
    </row>
    <row r="107" spans="1:10">
      <c r="A107" s="366" t="s">
        <v>5</v>
      </c>
      <c r="B107" s="367" t="s">
        <v>6</v>
      </c>
      <c r="C107" s="364" t="s">
        <v>232</v>
      </c>
      <c r="D107" s="365">
        <v>161298.13</v>
      </c>
      <c r="E107" s="365">
        <v>161298</v>
      </c>
      <c r="F107" s="364" t="s">
        <v>234</v>
      </c>
      <c r="G107" s="365">
        <v>329703</v>
      </c>
      <c r="H107" s="365">
        <v>354555</v>
      </c>
      <c r="I107" s="365">
        <v>394555</v>
      </c>
    </row>
    <row r="108" spans="1:10">
      <c r="A108" s="350" t="s">
        <v>7</v>
      </c>
      <c r="B108" s="351" t="s">
        <v>8</v>
      </c>
      <c r="C108" s="364" t="s">
        <v>232</v>
      </c>
      <c r="D108" s="353">
        <f>SUM(D109:D110)</f>
        <v>264966</v>
      </c>
      <c r="E108" s="353">
        <f>SUM(E109:E110)</f>
        <v>264995</v>
      </c>
      <c r="F108" s="353"/>
      <c r="G108" s="353">
        <f>G109+G110</f>
        <v>685439</v>
      </c>
      <c r="H108" s="353">
        <f t="shared" ref="H108:I108" si="34">H109+H110</f>
        <v>1028159</v>
      </c>
      <c r="I108" s="353">
        <f t="shared" si="34"/>
        <v>1028159</v>
      </c>
    </row>
    <row r="109" spans="1:10">
      <c r="A109" s="354" t="s">
        <v>9</v>
      </c>
      <c r="B109" s="355" t="s">
        <v>8</v>
      </c>
      <c r="C109" s="364" t="s">
        <v>232</v>
      </c>
      <c r="D109" s="365">
        <v>39744.5</v>
      </c>
      <c r="E109" s="365">
        <v>39774</v>
      </c>
      <c r="F109" s="364" t="s">
        <v>82</v>
      </c>
      <c r="G109" s="365">
        <v>120911</v>
      </c>
      <c r="H109" s="365">
        <v>181367</v>
      </c>
      <c r="I109" s="365">
        <v>181367</v>
      </c>
    </row>
    <row r="110" spans="1:10">
      <c r="A110" s="354" t="s">
        <v>9</v>
      </c>
      <c r="B110" s="355" t="s">
        <v>8</v>
      </c>
      <c r="C110" s="364" t="s">
        <v>232</v>
      </c>
      <c r="D110" s="365">
        <v>225221.5</v>
      </c>
      <c r="E110" s="365">
        <v>225221</v>
      </c>
      <c r="F110" s="364" t="s">
        <v>234</v>
      </c>
      <c r="G110" s="365">
        <v>564528</v>
      </c>
      <c r="H110" s="365">
        <v>846792</v>
      </c>
      <c r="I110" s="365">
        <v>846792</v>
      </c>
      <c r="J110" s="26"/>
    </row>
    <row r="111" spans="1:10">
      <c r="A111" s="350" t="s">
        <v>10</v>
      </c>
      <c r="B111" s="351" t="s">
        <v>11</v>
      </c>
      <c r="C111" s="364" t="s">
        <v>232</v>
      </c>
      <c r="D111" s="353">
        <f>SUM(D112:D115)</f>
        <v>665254.08000000007</v>
      </c>
      <c r="E111" s="353">
        <f>SUM(E112:E115)</f>
        <v>811452</v>
      </c>
      <c r="F111" s="353"/>
      <c r="G111" s="353">
        <f t="shared" ref="G111:I111" si="35">SUM(G112:G115)</f>
        <v>2252338</v>
      </c>
      <c r="H111" s="353">
        <f t="shared" si="35"/>
        <v>3720556</v>
      </c>
      <c r="I111" s="353">
        <f t="shared" si="35"/>
        <v>3720556</v>
      </c>
    </row>
    <row r="112" spans="1:10">
      <c r="A112" s="354" t="s">
        <v>12</v>
      </c>
      <c r="B112" s="355" t="s">
        <v>13</v>
      </c>
      <c r="C112" s="364" t="s">
        <v>232</v>
      </c>
      <c r="D112" s="365">
        <v>109687.82</v>
      </c>
      <c r="E112" s="365">
        <v>109687</v>
      </c>
      <c r="F112" s="364" t="s">
        <v>82</v>
      </c>
      <c r="G112" s="365">
        <v>311871</v>
      </c>
      <c r="H112" s="365">
        <v>598927</v>
      </c>
      <c r="I112" s="365">
        <v>598927</v>
      </c>
    </row>
    <row r="113" spans="1:11">
      <c r="A113" s="354" t="s">
        <v>12</v>
      </c>
      <c r="B113" s="355" t="s">
        <v>13</v>
      </c>
      <c r="C113" s="364" t="s">
        <v>232</v>
      </c>
      <c r="D113" s="365">
        <f>621564.97-131750</f>
        <v>489814.97</v>
      </c>
      <c r="E113" s="365">
        <v>621564</v>
      </c>
      <c r="F113" s="364" t="s">
        <v>234</v>
      </c>
      <c r="G113" s="365">
        <v>1717850</v>
      </c>
      <c r="H113" s="365">
        <v>2755633</v>
      </c>
      <c r="I113" s="365">
        <v>2755633</v>
      </c>
    </row>
    <row r="114" spans="1:11">
      <c r="A114" s="354" t="s">
        <v>14</v>
      </c>
      <c r="B114" s="355" t="s">
        <v>293</v>
      </c>
      <c r="C114" s="364" t="s">
        <v>232</v>
      </c>
      <c r="D114" s="365">
        <v>12030</v>
      </c>
      <c r="E114" s="365">
        <v>12030</v>
      </c>
      <c r="F114" s="364" t="s">
        <v>82</v>
      </c>
      <c r="G114" s="365">
        <v>34207</v>
      </c>
      <c r="H114" s="365">
        <v>65350</v>
      </c>
      <c r="I114" s="365">
        <v>65350</v>
      </c>
    </row>
    <row r="115" spans="1:11">
      <c r="A115" s="354" t="s">
        <v>14</v>
      </c>
      <c r="B115" s="355" t="s">
        <v>293</v>
      </c>
      <c r="C115" s="364" t="s">
        <v>232</v>
      </c>
      <c r="D115" s="365">
        <f>68171.29-14450</f>
        <v>53721.289999999994</v>
      </c>
      <c r="E115" s="365">
        <v>68171</v>
      </c>
      <c r="F115" s="364" t="s">
        <v>234</v>
      </c>
      <c r="G115" s="365">
        <v>188410</v>
      </c>
      <c r="H115" s="365">
        <v>300646</v>
      </c>
      <c r="I115" s="365">
        <v>300646</v>
      </c>
    </row>
    <row r="116" spans="1:11">
      <c r="A116" s="350" t="s">
        <v>16</v>
      </c>
      <c r="B116" s="351" t="s">
        <v>17</v>
      </c>
      <c r="C116" s="364" t="s">
        <v>232</v>
      </c>
      <c r="D116" s="353">
        <f>SUM(D117:D122)</f>
        <v>1593566.54</v>
      </c>
      <c r="E116" s="353">
        <f>SUM(E117:E122)</f>
        <v>1593563</v>
      </c>
      <c r="F116" s="353"/>
      <c r="G116" s="353">
        <f>G117+G118+G119+G120+G121+G122</f>
        <v>886823</v>
      </c>
      <c r="H116" s="353">
        <f t="shared" ref="H116:I116" si="36">H117+H118+H119+H120+H121+H122</f>
        <v>886823</v>
      </c>
      <c r="I116" s="353">
        <f t="shared" si="36"/>
        <v>945646</v>
      </c>
    </row>
    <row r="117" spans="1:11">
      <c r="A117" s="354" t="s">
        <v>18</v>
      </c>
      <c r="B117" s="355" t="s">
        <v>19</v>
      </c>
      <c r="C117" s="364" t="s">
        <v>232</v>
      </c>
      <c r="D117" s="365">
        <v>117358.54</v>
      </c>
      <c r="E117" s="365">
        <v>117358</v>
      </c>
      <c r="F117" s="364" t="s">
        <v>82</v>
      </c>
      <c r="G117" s="365">
        <v>52941</v>
      </c>
      <c r="H117" s="365">
        <v>52941</v>
      </c>
      <c r="I117" s="365">
        <v>52941</v>
      </c>
    </row>
    <row r="118" spans="1:11">
      <c r="A118" s="354" t="s">
        <v>18</v>
      </c>
      <c r="B118" s="355" t="s">
        <v>19</v>
      </c>
      <c r="C118" s="364" t="s">
        <v>232</v>
      </c>
      <c r="D118" s="365">
        <v>665018.28</v>
      </c>
      <c r="E118" s="365">
        <v>665018</v>
      </c>
      <c r="F118" s="364" t="s">
        <v>234</v>
      </c>
      <c r="G118" s="365">
        <v>300000</v>
      </c>
      <c r="H118" s="365">
        <v>300000</v>
      </c>
      <c r="I118" s="365">
        <v>300000</v>
      </c>
    </row>
    <row r="119" spans="1:11">
      <c r="A119" s="354" t="s">
        <v>20</v>
      </c>
      <c r="B119" s="355" t="s">
        <v>21</v>
      </c>
      <c r="C119" s="364" t="s">
        <v>232</v>
      </c>
      <c r="D119" s="365">
        <v>14432.46</v>
      </c>
      <c r="E119" s="365">
        <v>14432</v>
      </c>
      <c r="F119" s="364" t="s">
        <v>82</v>
      </c>
      <c r="G119" s="365">
        <v>35964</v>
      </c>
      <c r="H119" s="365">
        <v>35964</v>
      </c>
      <c r="I119" s="365">
        <v>35964</v>
      </c>
    </row>
    <row r="120" spans="1:11">
      <c r="A120" s="354" t="s">
        <v>20</v>
      </c>
      <c r="B120" s="355" t="s">
        <v>21</v>
      </c>
      <c r="C120" s="364" t="s">
        <v>232</v>
      </c>
      <c r="D120" s="365">
        <v>81784.92</v>
      </c>
      <c r="E120" s="365">
        <v>81784</v>
      </c>
      <c r="F120" s="364" t="s">
        <v>234</v>
      </c>
      <c r="G120" s="365">
        <v>203800</v>
      </c>
      <c r="H120" s="365">
        <v>203800</v>
      </c>
      <c r="I120" s="365">
        <v>203800</v>
      </c>
    </row>
    <row r="121" spans="1:11">
      <c r="A121" s="354" t="s">
        <v>22</v>
      </c>
      <c r="B121" s="355" t="s">
        <v>23</v>
      </c>
      <c r="C121" s="364" t="s">
        <v>232</v>
      </c>
      <c r="D121" s="365">
        <v>107245.91</v>
      </c>
      <c r="E121" s="365">
        <v>107245</v>
      </c>
      <c r="F121" s="364" t="s">
        <v>82</v>
      </c>
      <c r="G121" s="365">
        <v>44118</v>
      </c>
      <c r="H121" s="365">
        <v>44118</v>
      </c>
      <c r="I121" s="365">
        <v>52941</v>
      </c>
    </row>
    <row r="122" spans="1:11">
      <c r="A122" s="354" t="s">
        <v>22</v>
      </c>
      <c r="B122" s="355" t="s">
        <v>23</v>
      </c>
      <c r="C122" s="364" t="s">
        <v>232</v>
      </c>
      <c r="D122" s="365">
        <v>607726.43000000005</v>
      </c>
      <c r="E122" s="365">
        <v>607726</v>
      </c>
      <c r="F122" s="364" t="s">
        <v>234</v>
      </c>
      <c r="G122" s="365">
        <v>250000</v>
      </c>
      <c r="H122" s="365">
        <v>250000</v>
      </c>
      <c r="I122" s="365">
        <v>300000</v>
      </c>
    </row>
    <row r="123" spans="1:11">
      <c r="A123" s="350" t="s">
        <v>24</v>
      </c>
      <c r="B123" s="351" t="s">
        <v>25</v>
      </c>
      <c r="C123" s="364" t="s">
        <v>232</v>
      </c>
      <c r="D123" s="353">
        <f>SUM(D124:D129)</f>
        <v>312203.73000000004</v>
      </c>
      <c r="E123" s="353">
        <f>SUM(E124:E129)</f>
        <v>403770</v>
      </c>
      <c r="F123" s="353"/>
      <c r="G123" s="353">
        <f t="shared" ref="G123:I123" si="37">SUM(G124:G129)</f>
        <v>526666</v>
      </c>
      <c r="H123" s="353">
        <f t="shared" si="37"/>
        <v>466666</v>
      </c>
      <c r="I123" s="353">
        <f t="shared" si="37"/>
        <v>466666</v>
      </c>
    </row>
    <row r="124" spans="1:11">
      <c r="A124" s="354" t="s">
        <v>26</v>
      </c>
      <c r="B124" s="355" t="s">
        <v>27</v>
      </c>
      <c r="C124" s="364" t="s">
        <v>232</v>
      </c>
      <c r="D124" s="365">
        <v>22548.59</v>
      </c>
      <c r="E124" s="365">
        <v>22548</v>
      </c>
      <c r="F124" s="364" t="s">
        <v>82</v>
      </c>
      <c r="G124" s="365">
        <v>25000</v>
      </c>
      <c r="H124" s="365">
        <v>25000</v>
      </c>
      <c r="I124" s="365">
        <v>25000</v>
      </c>
    </row>
    <row r="125" spans="1:11">
      <c r="A125" s="354" t="s">
        <v>26</v>
      </c>
      <c r="B125" s="355" t="s">
        <v>27</v>
      </c>
      <c r="C125" s="364" t="s">
        <v>232</v>
      </c>
      <c r="D125" s="365">
        <v>127775.36</v>
      </c>
      <c r="E125" s="365">
        <v>127775</v>
      </c>
      <c r="F125" s="364" t="s">
        <v>234</v>
      </c>
      <c r="G125" s="365">
        <v>141666</v>
      </c>
      <c r="H125" s="365">
        <v>141666</v>
      </c>
      <c r="I125" s="365">
        <v>141666</v>
      </c>
    </row>
    <row r="126" spans="1:11">
      <c r="A126" s="354" t="s">
        <v>28</v>
      </c>
      <c r="B126" s="360" t="s">
        <v>29</v>
      </c>
      <c r="C126" s="364" t="s">
        <v>232</v>
      </c>
      <c r="D126" s="365">
        <v>36858.089999999997</v>
      </c>
      <c r="E126" s="365">
        <v>36858</v>
      </c>
      <c r="F126" s="364" t="s">
        <v>82</v>
      </c>
      <c r="G126" s="365">
        <v>45000</v>
      </c>
      <c r="H126" s="365">
        <v>45000</v>
      </c>
      <c r="I126" s="365">
        <v>45000</v>
      </c>
    </row>
    <row r="127" spans="1:11">
      <c r="A127" s="354" t="s">
        <v>28</v>
      </c>
      <c r="B127" s="360" t="s">
        <v>29</v>
      </c>
      <c r="C127" s="364" t="s">
        <v>232</v>
      </c>
      <c r="D127" s="365">
        <f>208862.49-85000</f>
        <v>123862.48999999999</v>
      </c>
      <c r="E127" s="365">
        <v>208862</v>
      </c>
      <c r="F127" s="364" t="s">
        <v>234</v>
      </c>
      <c r="G127" s="365">
        <v>255000</v>
      </c>
      <c r="H127" s="365">
        <v>255000</v>
      </c>
      <c r="I127" s="365">
        <v>255000</v>
      </c>
    </row>
    <row r="128" spans="1:11">
      <c r="A128" s="354">
        <v>3227</v>
      </c>
      <c r="B128" s="355" t="s">
        <v>359</v>
      </c>
      <c r="C128" s="364" t="s">
        <v>232</v>
      </c>
      <c r="D128" s="365">
        <v>1159.08</v>
      </c>
      <c r="E128" s="365">
        <v>1159</v>
      </c>
      <c r="F128" s="364" t="s">
        <v>82</v>
      </c>
      <c r="G128" s="365">
        <v>9000</v>
      </c>
      <c r="H128" s="365">
        <v>0</v>
      </c>
      <c r="I128" s="365">
        <v>0</v>
      </c>
      <c r="J128" s="568"/>
      <c r="K128" s="567"/>
    </row>
    <row r="129" spans="1:10">
      <c r="A129" s="354">
        <v>3227</v>
      </c>
      <c r="B129" s="355" t="s">
        <v>359</v>
      </c>
      <c r="C129" s="364" t="s">
        <v>232</v>
      </c>
      <c r="D129" s="365">
        <f>6568.12-6568</f>
        <v>0.11999999999989086</v>
      </c>
      <c r="E129" s="365">
        <v>6568</v>
      </c>
      <c r="F129" s="364" t="s">
        <v>234</v>
      </c>
      <c r="G129" s="365">
        <v>51000</v>
      </c>
      <c r="H129" s="365">
        <v>0</v>
      </c>
      <c r="I129" s="365">
        <v>0</v>
      </c>
    </row>
    <row r="130" spans="1:10">
      <c r="A130" s="350" t="s">
        <v>34</v>
      </c>
      <c r="B130" s="351" t="s">
        <v>35</v>
      </c>
      <c r="C130" s="364" t="s">
        <v>232</v>
      </c>
      <c r="D130" s="353">
        <f>SUM(D131:D146)</f>
        <v>10735101.43</v>
      </c>
      <c r="E130" s="353">
        <f>SUM(E131:E146)</f>
        <v>12343301</v>
      </c>
      <c r="F130" s="353"/>
      <c r="G130" s="353">
        <f t="shared" ref="G130:I130" si="38">SUM(G131:G146)</f>
        <v>2976627</v>
      </c>
      <c r="H130" s="353">
        <f t="shared" si="38"/>
        <v>4062117</v>
      </c>
      <c r="I130" s="353">
        <f t="shared" si="38"/>
        <v>4185647</v>
      </c>
      <c r="J130" s="26"/>
    </row>
    <row r="131" spans="1:10">
      <c r="A131" s="354" t="s">
        <v>36</v>
      </c>
      <c r="B131" s="355" t="s">
        <v>37</v>
      </c>
      <c r="C131" s="364" t="s">
        <v>232</v>
      </c>
      <c r="D131" s="365">
        <v>21655.03</v>
      </c>
      <c r="E131" s="365">
        <v>21655</v>
      </c>
      <c r="F131" s="364" t="s">
        <v>82</v>
      </c>
      <c r="G131" s="365">
        <v>35100</v>
      </c>
      <c r="H131" s="365">
        <v>35100</v>
      </c>
      <c r="I131" s="365">
        <v>35100</v>
      </c>
    </row>
    <row r="132" spans="1:10">
      <c r="A132" s="354" t="s">
        <v>36</v>
      </c>
      <c r="B132" s="355" t="s">
        <v>37</v>
      </c>
      <c r="C132" s="364" t="s">
        <v>232</v>
      </c>
      <c r="D132" s="365">
        <f>122711.79-24540</f>
        <v>98171.79</v>
      </c>
      <c r="E132" s="365">
        <v>122711</v>
      </c>
      <c r="F132" s="364" t="s">
        <v>234</v>
      </c>
      <c r="G132" s="365">
        <v>198900</v>
      </c>
      <c r="H132" s="365">
        <v>198900</v>
      </c>
      <c r="I132" s="365">
        <v>198900</v>
      </c>
    </row>
    <row r="133" spans="1:10">
      <c r="A133" s="354" t="s">
        <v>38</v>
      </c>
      <c r="B133" s="355" t="s">
        <v>39</v>
      </c>
      <c r="C133" s="364" t="s">
        <v>232</v>
      </c>
      <c r="D133" s="365">
        <v>27060.87</v>
      </c>
      <c r="E133" s="365">
        <v>27060</v>
      </c>
      <c r="F133" s="364" t="s">
        <v>82</v>
      </c>
      <c r="G133" s="365">
        <v>25353</v>
      </c>
      <c r="H133" s="365">
        <v>25353</v>
      </c>
      <c r="I133" s="365">
        <v>25353</v>
      </c>
    </row>
    <row r="134" spans="1:10">
      <c r="A134" s="354" t="s">
        <v>38</v>
      </c>
      <c r="B134" s="355" t="s">
        <v>39</v>
      </c>
      <c r="C134" s="364" t="s">
        <v>232</v>
      </c>
      <c r="D134" s="365">
        <v>153345.22</v>
      </c>
      <c r="E134" s="365">
        <v>153345</v>
      </c>
      <c r="F134" s="364" t="s">
        <v>234</v>
      </c>
      <c r="G134" s="365">
        <v>143667</v>
      </c>
      <c r="H134" s="365">
        <v>143667</v>
      </c>
      <c r="I134" s="365">
        <v>143667</v>
      </c>
    </row>
    <row r="135" spans="1:10">
      <c r="A135" s="354" t="s">
        <v>40</v>
      </c>
      <c r="B135" s="355" t="s">
        <v>41</v>
      </c>
      <c r="C135" s="364" t="s">
        <v>232</v>
      </c>
      <c r="D135" s="365">
        <v>398926.16</v>
      </c>
      <c r="E135" s="365">
        <v>398926</v>
      </c>
      <c r="F135" s="364" t="s">
        <v>82</v>
      </c>
      <c r="G135" s="365">
        <v>72614</v>
      </c>
      <c r="H135" s="365">
        <v>75000</v>
      </c>
      <c r="I135" s="365">
        <v>79412</v>
      </c>
    </row>
    <row r="136" spans="1:10">
      <c r="A136" s="354" t="s">
        <v>40</v>
      </c>
      <c r="B136" s="355" t="s">
        <v>41</v>
      </c>
      <c r="C136" s="364" t="s">
        <v>232</v>
      </c>
      <c r="D136" s="365">
        <f>2260580.84-1000000</f>
        <v>1260580.8399999999</v>
      </c>
      <c r="E136" s="365">
        <v>2260580</v>
      </c>
      <c r="F136" s="364" t="s">
        <v>234</v>
      </c>
      <c r="G136" s="365">
        <v>411480</v>
      </c>
      <c r="H136" s="365">
        <v>425000</v>
      </c>
      <c r="I136" s="365">
        <v>450000</v>
      </c>
    </row>
    <row r="137" spans="1:10">
      <c r="A137" s="354" t="s">
        <v>42</v>
      </c>
      <c r="B137" s="355" t="s">
        <v>43</v>
      </c>
      <c r="C137" s="364" t="s">
        <v>232</v>
      </c>
      <c r="D137" s="365">
        <v>36236.47</v>
      </c>
      <c r="E137" s="365">
        <v>36236</v>
      </c>
      <c r="F137" s="364" t="s">
        <v>82</v>
      </c>
      <c r="G137" s="365">
        <v>32353</v>
      </c>
      <c r="H137" s="365">
        <v>35882</v>
      </c>
      <c r="I137" s="365">
        <v>50000</v>
      </c>
    </row>
    <row r="138" spans="1:10">
      <c r="A138" s="354" t="s">
        <v>42</v>
      </c>
      <c r="B138" s="355" t="s">
        <v>43</v>
      </c>
      <c r="C138" s="364" t="s">
        <v>232</v>
      </c>
      <c r="D138" s="365">
        <v>205339.64</v>
      </c>
      <c r="E138" s="365">
        <v>205339</v>
      </c>
      <c r="F138" s="364" t="s">
        <v>234</v>
      </c>
      <c r="G138" s="365">
        <v>183333</v>
      </c>
      <c r="H138" s="365">
        <v>203333</v>
      </c>
      <c r="I138" s="365">
        <v>283333</v>
      </c>
    </row>
    <row r="139" spans="1:10">
      <c r="A139" s="354" t="s">
        <v>44</v>
      </c>
      <c r="B139" s="355" t="s">
        <v>45</v>
      </c>
      <c r="C139" s="364" t="s">
        <v>232</v>
      </c>
      <c r="D139" s="365">
        <v>58072.65</v>
      </c>
      <c r="E139" s="365">
        <v>58072</v>
      </c>
      <c r="F139" s="364" t="s">
        <v>82</v>
      </c>
      <c r="G139" s="365">
        <v>9482</v>
      </c>
      <c r="H139" s="365">
        <v>9482</v>
      </c>
      <c r="I139" s="365">
        <v>9482</v>
      </c>
    </row>
    <row r="140" spans="1:10">
      <c r="A140" s="354" t="s">
        <v>44</v>
      </c>
      <c r="B140" s="355" t="s">
        <v>45</v>
      </c>
      <c r="C140" s="364" t="s">
        <v>232</v>
      </c>
      <c r="D140" s="365">
        <f>329077.71-85000</f>
        <v>244077.71000000002</v>
      </c>
      <c r="E140" s="365">
        <v>329077</v>
      </c>
      <c r="F140" s="364" t="s">
        <v>234</v>
      </c>
      <c r="G140" s="365">
        <v>53734</v>
      </c>
      <c r="H140" s="365">
        <v>53734</v>
      </c>
      <c r="I140" s="365">
        <v>53734</v>
      </c>
    </row>
    <row r="141" spans="1:10">
      <c r="A141" s="354" t="s">
        <v>48</v>
      </c>
      <c r="B141" s="355" t="s">
        <v>49</v>
      </c>
      <c r="C141" s="364" t="s">
        <v>232</v>
      </c>
      <c r="D141" s="365">
        <v>1105780.07</v>
      </c>
      <c r="E141" s="365">
        <v>1105780</v>
      </c>
      <c r="F141" s="364" t="s">
        <v>82</v>
      </c>
      <c r="G141" s="365">
        <v>200445</v>
      </c>
      <c r="H141" s="365">
        <v>1000000</v>
      </c>
      <c r="I141" s="365">
        <v>1000000</v>
      </c>
    </row>
    <row r="142" spans="1:10">
      <c r="A142" s="354" t="s">
        <v>48</v>
      </c>
      <c r="B142" s="355" t="s">
        <v>49</v>
      </c>
      <c r="C142" s="364" t="s">
        <v>232</v>
      </c>
      <c r="D142" s="365">
        <v>6266086.7199999997</v>
      </c>
      <c r="E142" s="365">
        <v>6266086</v>
      </c>
      <c r="F142" s="364" t="s">
        <v>234</v>
      </c>
      <c r="G142" s="365">
        <v>1135853</v>
      </c>
      <c r="H142" s="365">
        <v>1500000</v>
      </c>
      <c r="I142" s="365">
        <v>1500000</v>
      </c>
    </row>
    <row r="143" spans="1:10">
      <c r="A143" s="354" t="s">
        <v>50</v>
      </c>
      <c r="B143" s="355" t="s">
        <v>51</v>
      </c>
      <c r="C143" s="364" t="s">
        <v>232</v>
      </c>
      <c r="D143" s="365">
        <v>88000</v>
      </c>
      <c r="E143" s="365">
        <v>88000</v>
      </c>
      <c r="F143" s="364" t="s">
        <v>82</v>
      </c>
      <c r="G143" s="365">
        <v>53500</v>
      </c>
      <c r="H143" s="365">
        <v>35853</v>
      </c>
      <c r="I143" s="365">
        <v>35853</v>
      </c>
    </row>
    <row r="144" spans="1:10">
      <c r="A144" s="354" t="s">
        <v>50</v>
      </c>
      <c r="B144" s="355" t="s">
        <v>51</v>
      </c>
      <c r="C144" s="364" t="s">
        <v>232</v>
      </c>
      <c r="D144" s="365">
        <f>498666-498666</f>
        <v>0</v>
      </c>
      <c r="E144" s="365">
        <v>498666</v>
      </c>
      <c r="F144" s="364" t="s">
        <v>234</v>
      </c>
      <c r="G144" s="365">
        <v>303166</v>
      </c>
      <c r="H144" s="365">
        <v>203166</v>
      </c>
      <c r="I144" s="365">
        <v>203166</v>
      </c>
    </row>
    <row r="145" spans="1:9">
      <c r="A145" s="354" t="s">
        <v>52</v>
      </c>
      <c r="B145" s="355" t="s">
        <v>53</v>
      </c>
      <c r="C145" s="364" t="s">
        <v>232</v>
      </c>
      <c r="D145" s="365">
        <v>115765.24</v>
      </c>
      <c r="E145" s="365">
        <v>115765</v>
      </c>
      <c r="F145" s="364" t="s">
        <v>82</v>
      </c>
      <c r="G145" s="365">
        <v>17647</v>
      </c>
      <c r="H145" s="365">
        <v>17647</v>
      </c>
      <c r="I145" s="365">
        <v>17647</v>
      </c>
    </row>
    <row r="146" spans="1:9">
      <c r="A146" s="354" t="s">
        <v>52</v>
      </c>
      <c r="B146" s="355" t="s">
        <v>53</v>
      </c>
      <c r="C146" s="364" t="s">
        <v>232</v>
      </c>
      <c r="D146" s="365">
        <v>656003.02</v>
      </c>
      <c r="E146" s="365">
        <v>656003</v>
      </c>
      <c r="F146" s="364" t="s">
        <v>234</v>
      </c>
      <c r="G146" s="365">
        <v>100000</v>
      </c>
      <c r="H146" s="365">
        <v>100000</v>
      </c>
      <c r="I146" s="365">
        <v>100000</v>
      </c>
    </row>
    <row r="147" spans="1:9">
      <c r="A147" s="362" t="s">
        <v>54</v>
      </c>
      <c r="B147" s="351" t="s">
        <v>55</v>
      </c>
      <c r="C147" s="364" t="s">
        <v>232</v>
      </c>
      <c r="D147" s="353">
        <f>SUM(D148:D149)</f>
        <v>74500</v>
      </c>
      <c r="E147" s="353">
        <f>SUM(E148:E149)</f>
        <v>100000</v>
      </c>
      <c r="F147" s="353"/>
      <c r="G147" s="353">
        <f t="shared" ref="G147:I147" si="39">SUM(G148:G149)</f>
        <v>50000</v>
      </c>
      <c r="H147" s="353">
        <f t="shared" si="39"/>
        <v>58824</v>
      </c>
      <c r="I147" s="353">
        <f t="shared" si="39"/>
        <v>66275</v>
      </c>
    </row>
    <row r="148" spans="1:9">
      <c r="A148" s="354" t="s">
        <v>56</v>
      </c>
      <c r="B148" s="355" t="s">
        <v>55</v>
      </c>
      <c r="C148" s="364" t="s">
        <v>232</v>
      </c>
      <c r="D148" s="365">
        <v>15000</v>
      </c>
      <c r="E148" s="365">
        <v>15000</v>
      </c>
      <c r="F148" s="364" t="s">
        <v>82</v>
      </c>
      <c r="G148" s="365">
        <v>7500</v>
      </c>
      <c r="H148" s="365">
        <v>8824</v>
      </c>
      <c r="I148" s="365">
        <v>9941</v>
      </c>
    </row>
    <row r="149" spans="1:9">
      <c r="A149" s="354">
        <v>3241</v>
      </c>
      <c r="B149" s="355" t="s">
        <v>55</v>
      </c>
      <c r="C149" s="364" t="s">
        <v>232</v>
      </c>
      <c r="D149" s="365">
        <f>85000-25500</f>
        <v>59500</v>
      </c>
      <c r="E149" s="365">
        <v>85000</v>
      </c>
      <c r="F149" s="364" t="s">
        <v>234</v>
      </c>
      <c r="G149" s="365">
        <v>42500</v>
      </c>
      <c r="H149" s="365">
        <v>50000</v>
      </c>
      <c r="I149" s="365">
        <v>56334</v>
      </c>
    </row>
    <row r="150" spans="1:9">
      <c r="A150" s="362" t="s">
        <v>57</v>
      </c>
      <c r="B150" s="351" t="s">
        <v>58</v>
      </c>
      <c r="C150" s="364" t="s">
        <v>232</v>
      </c>
      <c r="D150" s="353">
        <f>SUM(D151:D154)</f>
        <v>74382.67</v>
      </c>
      <c r="E150" s="353">
        <f>SUM(E151:E154)</f>
        <v>142381</v>
      </c>
      <c r="F150" s="353"/>
      <c r="G150" s="353">
        <f t="shared" ref="G150:I150" si="40">SUM(G151:G154)</f>
        <v>100000</v>
      </c>
      <c r="H150" s="353">
        <f t="shared" si="40"/>
        <v>123333</v>
      </c>
      <c r="I150" s="353">
        <f t="shared" si="40"/>
        <v>123333</v>
      </c>
    </row>
    <row r="151" spans="1:9">
      <c r="A151" s="354" t="s">
        <v>63</v>
      </c>
      <c r="B151" s="355" t="s">
        <v>64</v>
      </c>
      <c r="C151" s="364" t="s">
        <v>232</v>
      </c>
      <c r="D151" s="365">
        <v>9357.86</v>
      </c>
      <c r="E151" s="365">
        <v>9357</v>
      </c>
      <c r="F151" s="364" t="s">
        <v>82</v>
      </c>
      <c r="G151" s="365">
        <v>15000</v>
      </c>
      <c r="H151" s="365">
        <v>18500</v>
      </c>
      <c r="I151" s="365">
        <v>18500</v>
      </c>
    </row>
    <row r="152" spans="1:9">
      <c r="A152" s="354" t="s">
        <v>63</v>
      </c>
      <c r="B152" s="355" t="s">
        <v>64</v>
      </c>
      <c r="C152" s="364" t="s">
        <v>232</v>
      </c>
      <c r="D152" s="365">
        <v>53024.81</v>
      </c>
      <c r="E152" s="365">
        <v>53024</v>
      </c>
      <c r="F152" s="364" t="s">
        <v>234</v>
      </c>
      <c r="G152" s="365">
        <v>85000</v>
      </c>
      <c r="H152" s="365">
        <v>104833</v>
      </c>
      <c r="I152" s="365">
        <v>104833</v>
      </c>
    </row>
    <row r="153" spans="1:9">
      <c r="A153" s="354">
        <v>3294</v>
      </c>
      <c r="B153" s="355" t="s">
        <v>360</v>
      </c>
      <c r="C153" s="364" t="s">
        <v>232</v>
      </c>
      <c r="D153" s="365">
        <v>12000</v>
      </c>
      <c r="E153" s="365">
        <v>12000</v>
      </c>
      <c r="F153" s="364" t="s">
        <v>82</v>
      </c>
      <c r="G153" s="365">
        <v>0</v>
      </c>
      <c r="H153" s="365">
        <v>0</v>
      </c>
      <c r="I153" s="365">
        <v>0</v>
      </c>
    </row>
    <row r="154" spans="1:9">
      <c r="A154" s="354">
        <v>3294</v>
      </c>
      <c r="B154" s="355" t="s">
        <v>360</v>
      </c>
      <c r="C154" s="364" t="s">
        <v>232</v>
      </c>
      <c r="D154" s="365">
        <f>68000-68000</f>
        <v>0</v>
      </c>
      <c r="E154" s="365">
        <v>68000</v>
      </c>
      <c r="F154" s="364" t="s">
        <v>234</v>
      </c>
      <c r="G154" s="365">
        <v>0</v>
      </c>
      <c r="H154" s="365">
        <v>0</v>
      </c>
      <c r="I154" s="365">
        <v>0</v>
      </c>
    </row>
    <row r="155" spans="1:9">
      <c r="A155" s="350" t="s">
        <v>173</v>
      </c>
      <c r="B155" s="351" t="s">
        <v>357</v>
      </c>
      <c r="C155" s="364" t="s">
        <v>232</v>
      </c>
      <c r="D155" s="353">
        <f>SUM(D156:D157)</f>
        <v>66666</v>
      </c>
      <c r="E155" s="353">
        <f>SUM(E156:E157)</f>
        <v>66666</v>
      </c>
      <c r="F155" s="353"/>
      <c r="G155" s="353">
        <f>G156+G157</f>
        <v>100000</v>
      </c>
      <c r="H155" s="353">
        <f t="shared" ref="H155:I155" si="41">H156+H157</f>
        <v>66666</v>
      </c>
      <c r="I155" s="353">
        <f t="shared" si="41"/>
        <v>66666</v>
      </c>
    </row>
    <row r="156" spans="1:9">
      <c r="A156" s="366" t="s">
        <v>174</v>
      </c>
      <c r="B156" s="367" t="s">
        <v>175</v>
      </c>
      <c r="C156" s="364" t="s">
        <v>232</v>
      </c>
      <c r="D156" s="365">
        <v>10000</v>
      </c>
      <c r="E156" s="365">
        <v>10000</v>
      </c>
      <c r="F156" s="364" t="s">
        <v>82</v>
      </c>
      <c r="G156" s="365">
        <v>15000</v>
      </c>
      <c r="H156" s="365">
        <v>10000</v>
      </c>
      <c r="I156" s="365">
        <v>10000</v>
      </c>
    </row>
    <row r="157" spans="1:9">
      <c r="A157" s="366" t="s">
        <v>174</v>
      </c>
      <c r="B157" s="367" t="s">
        <v>175</v>
      </c>
      <c r="C157" s="364" t="s">
        <v>232</v>
      </c>
      <c r="D157" s="365">
        <v>56666</v>
      </c>
      <c r="E157" s="365">
        <v>56666</v>
      </c>
      <c r="F157" s="364" t="s">
        <v>234</v>
      </c>
      <c r="G157" s="365">
        <v>85000</v>
      </c>
      <c r="H157" s="365">
        <v>56666</v>
      </c>
      <c r="I157" s="365">
        <v>56666</v>
      </c>
    </row>
    <row r="158" spans="1:9">
      <c r="A158" s="350" t="s">
        <v>83</v>
      </c>
      <c r="B158" s="351" t="s">
        <v>84</v>
      </c>
      <c r="C158" s="364" t="s">
        <v>232</v>
      </c>
      <c r="D158" s="353">
        <f>SUM(D159:D160)</f>
        <v>2262</v>
      </c>
      <c r="E158" s="353">
        <f>SUM(E159:E160)</f>
        <v>15080</v>
      </c>
      <c r="F158" s="353"/>
      <c r="G158" s="353">
        <f t="shared" ref="G158:I158" si="42">SUM(G159:G160)</f>
        <v>124000</v>
      </c>
      <c r="H158" s="353">
        <f t="shared" si="42"/>
        <v>100000</v>
      </c>
      <c r="I158" s="353">
        <f t="shared" si="42"/>
        <v>100000</v>
      </c>
    </row>
    <row r="159" spans="1:9">
      <c r="A159" s="354" t="s">
        <v>85</v>
      </c>
      <c r="B159" s="355" t="s">
        <v>86</v>
      </c>
      <c r="C159" s="364" t="s">
        <v>232</v>
      </c>
      <c r="D159" s="365">
        <v>2262</v>
      </c>
      <c r="E159" s="365">
        <v>2262</v>
      </c>
      <c r="F159" s="364" t="s">
        <v>82</v>
      </c>
      <c r="G159" s="365">
        <v>18600</v>
      </c>
      <c r="H159" s="365">
        <v>15000</v>
      </c>
      <c r="I159" s="365">
        <v>15000</v>
      </c>
    </row>
    <row r="160" spans="1:9">
      <c r="A160" s="354" t="s">
        <v>85</v>
      </c>
      <c r="B160" s="355" t="s">
        <v>86</v>
      </c>
      <c r="C160" s="364" t="s">
        <v>232</v>
      </c>
      <c r="D160" s="365">
        <f>12818-12818</f>
        <v>0</v>
      </c>
      <c r="E160" s="365">
        <v>12818</v>
      </c>
      <c r="F160" s="364" t="s">
        <v>234</v>
      </c>
      <c r="G160" s="365">
        <v>105400</v>
      </c>
      <c r="H160" s="365">
        <v>85000</v>
      </c>
      <c r="I160" s="365">
        <v>85000</v>
      </c>
    </row>
    <row r="161" spans="1:11">
      <c r="A161" s="350" t="s">
        <v>88</v>
      </c>
      <c r="B161" s="351" t="s">
        <v>89</v>
      </c>
      <c r="C161" s="364" t="s">
        <v>232</v>
      </c>
      <c r="D161" s="353">
        <f>SUM(D162:D165)</f>
        <v>21177.120000000003</v>
      </c>
      <c r="E161" s="353">
        <f>SUM(E162:E165)</f>
        <v>101176</v>
      </c>
      <c r="F161" s="353"/>
      <c r="G161" s="353">
        <f>SUM(G162:G165)</f>
        <v>261666</v>
      </c>
      <c r="H161" s="353">
        <f t="shared" ref="H161:I161" si="43">SUM(H162:H165)</f>
        <v>264706</v>
      </c>
      <c r="I161" s="353">
        <f t="shared" si="43"/>
        <v>124313</v>
      </c>
    </row>
    <row r="162" spans="1:11">
      <c r="A162" s="354" t="s">
        <v>90</v>
      </c>
      <c r="B162" s="355" t="s">
        <v>91</v>
      </c>
      <c r="C162" s="364" t="s">
        <v>232</v>
      </c>
      <c r="D162" s="365">
        <v>14176.57</v>
      </c>
      <c r="E162" s="365">
        <v>14176</v>
      </c>
      <c r="F162" s="364" t="s">
        <v>82</v>
      </c>
      <c r="G162" s="365">
        <v>38250</v>
      </c>
      <c r="H162" s="365">
        <v>38706</v>
      </c>
      <c r="I162" s="365">
        <v>17647</v>
      </c>
    </row>
    <row r="163" spans="1:11">
      <c r="A163" s="354" t="s">
        <v>90</v>
      </c>
      <c r="B163" s="355" t="s">
        <v>91</v>
      </c>
      <c r="C163" s="364" t="s">
        <v>232</v>
      </c>
      <c r="D163" s="365">
        <f>80334.55-80000</f>
        <v>334.55000000000291</v>
      </c>
      <c r="E163" s="365">
        <v>80334</v>
      </c>
      <c r="F163" s="364" t="s">
        <v>234</v>
      </c>
      <c r="G163" s="365">
        <v>216750</v>
      </c>
      <c r="H163" s="365">
        <v>219334</v>
      </c>
      <c r="I163" s="365">
        <v>100000</v>
      </c>
    </row>
    <row r="164" spans="1:11">
      <c r="A164" s="354" t="s">
        <v>92</v>
      </c>
      <c r="B164" s="355" t="s">
        <v>93</v>
      </c>
      <c r="C164" s="364" t="s">
        <v>232</v>
      </c>
      <c r="D164" s="365">
        <v>1000</v>
      </c>
      <c r="E164" s="365">
        <v>1000</v>
      </c>
      <c r="F164" s="364" t="s">
        <v>82</v>
      </c>
      <c r="G164" s="365">
        <v>1000</v>
      </c>
      <c r="H164" s="365">
        <v>1000</v>
      </c>
      <c r="I164" s="365">
        <v>1000</v>
      </c>
    </row>
    <row r="165" spans="1:11">
      <c r="A165" s="354" t="s">
        <v>92</v>
      </c>
      <c r="B165" s="355" t="s">
        <v>93</v>
      </c>
      <c r="C165" s="364" t="s">
        <v>232</v>
      </c>
      <c r="D165" s="365">
        <v>5666</v>
      </c>
      <c r="E165" s="365">
        <v>5666</v>
      </c>
      <c r="F165" s="364" t="s">
        <v>234</v>
      </c>
      <c r="G165" s="365">
        <v>5666</v>
      </c>
      <c r="H165" s="365">
        <v>5666</v>
      </c>
      <c r="I165" s="365">
        <v>5666</v>
      </c>
    </row>
    <row r="166" spans="1:11">
      <c r="A166" s="362">
        <v>423</v>
      </c>
      <c r="B166" s="351" t="s">
        <v>361</v>
      </c>
      <c r="C166" s="364" t="s">
        <v>232</v>
      </c>
      <c r="D166" s="353">
        <f>SUM(D167:D168)</f>
        <v>300000</v>
      </c>
      <c r="E166" s="353">
        <f>SUM(E167:E168)</f>
        <v>300000</v>
      </c>
      <c r="F166" s="353"/>
      <c r="G166" s="353">
        <f>G167+G168</f>
        <v>150000</v>
      </c>
      <c r="H166" s="353">
        <f t="shared" ref="H166:I166" si="44">H167+H168</f>
        <v>0</v>
      </c>
      <c r="I166" s="353">
        <f t="shared" si="44"/>
        <v>0</v>
      </c>
    </row>
    <row r="167" spans="1:11">
      <c r="A167" s="354">
        <v>4231</v>
      </c>
      <c r="B167" s="355" t="s">
        <v>362</v>
      </c>
      <c r="C167" s="364" t="s">
        <v>232</v>
      </c>
      <c r="D167" s="365">
        <v>45000</v>
      </c>
      <c r="E167" s="365">
        <v>45000</v>
      </c>
      <c r="F167" s="364" t="s">
        <v>82</v>
      </c>
      <c r="G167" s="365">
        <v>22500</v>
      </c>
      <c r="H167" s="365">
        <v>0</v>
      </c>
      <c r="I167" s="365">
        <v>0</v>
      </c>
    </row>
    <row r="168" spans="1:11">
      <c r="A168" s="354">
        <v>4231</v>
      </c>
      <c r="B168" s="355" t="s">
        <v>362</v>
      </c>
      <c r="C168" s="364" t="s">
        <v>232</v>
      </c>
      <c r="D168" s="365">
        <v>255000</v>
      </c>
      <c r="E168" s="365">
        <v>255000</v>
      </c>
      <c r="F168" s="364" t="s">
        <v>234</v>
      </c>
      <c r="G168" s="365">
        <v>127500</v>
      </c>
      <c r="H168" s="365">
        <v>0</v>
      </c>
      <c r="I168" s="365">
        <v>0</v>
      </c>
      <c r="J168" s="506"/>
    </row>
    <row r="169" spans="1:11">
      <c r="A169" s="362">
        <v>426</v>
      </c>
      <c r="B169" s="372" t="s">
        <v>363</v>
      </c>
      <c r="C169" s="364" t="s">
        <v>232</v>
      </c>
      <c r="D169" s="353">
        <f>SUM(D170:D171)</f>
        <v>489375</v>
      </c>
      <c r="E169" s="353">
        <f>SUM(E170:E171)</f>
        <v>1350000</v>
      </c>
      <c r="F169" s="353"/>
      <c r="G169" s="353">
        <f t="shared" ref="G169:I169" si="45">SUM(G170:G171)</f>
        <v>262746</v>
      </c>
      <c r="H169" s="353">
        <f t="shared" si="45"/>
        <v>470588</v>
      </c>
      <c r="I169" s="353">
        <f t="shared" si="45"/>
        <v>0</v>
      </c>
      <c r="J169" s="566"/>
      <c r="K169" s="567"/>
    </row>
    <row r="170" spans="1:11">
      <c r="A170" s="354">
        <v>4262</v>
      </c>
      <c r="B170" s="355" t="s">
        <v>182</v>
      </c>
      <c r="C170" s="364" t="s">
        <v>232</v>
      </c>
      <c r="D170" s="365">
        <v>202500</v>
      </c>
      <c r="E170" s="365">
        <v>202500</v>
      </c>
      <c r="F170" s="364" t="s">
        <v>82</v>
      </c>
      <c r="G170" s="365">
        <v>39412</v>
      </c>
      <c r="H170" s="365">
        <v>70588</v>
      </c>
      <c r="I170" s="365">
        <v>0</v>
      </c>
      <c r="J170" s="26"/>
    </row>
    <row r="171" spans="1:11">
      <c r="A171" s="354">
        <v>4262</v>
      </c>
      <c r="B171" s="355" t="s">
        <v>182</v>
      </c>
      <c r="C171" s="364" t="s">
        <v>232</v>
      </c>
      <c r="D171" s="365">
        <f>1147500-860625</f>
        <v>286875</v>
      </c>
      <c r="E171" s="365">
        <v>1147500</v>
      </c>
      <c r="F171" s="364" t="s">
        <v>234</v>
      </c>
      <c r="G171" s="365">
        <v>223334</v>
      </c>
      <c r="H171" s="365">
        <v>400000</v>
      </c>
      <c r="I171" s="365">
        <v>0</v>
      </c>
    </row>
    <row r="172" spans="1:11">
      <c r="A172" s="346" t="s">
        <v>459</v>
      </c>
      <c r="B172" s="347" t="s">
        <v>464</v>
      </c>
      <c r="C172" s="348" t="s">
        <v>232</v>
      </c>
      <c r="D172" s="349" t="e">
        <f>D173+D175+#REF!+D179</f>
        <v>#REF!</v>
      </c>
      <c r="E172" s="349" t="e">
        <f>E173+#REF!+E179+E183+E197+E212+#REF!+#REF!+E214+#REF!+#REF!+#REF!+E190</f>
        <v>#REF!</v>
      </c>
      <c r="F172" s="349"/>
      <c r="G172" s="349">
        <f>G173+G175+G179</f>
        <v>119529412</v>
      </c>
      <c r="H172" s="349">
        <f t="shared" ref="H172:I172" si="46">H173+H175+H179</f>
        <v>440558412</v>
      </c>
      <c r="I172" s="349">
        <f t="shared" si="46"/>
        <v>485087824</v>
      </c>
    </row>
    <row r="173" spans="1:11">
      <c r="A173" s="350" t="s">
        <v>460</v>
      </c>
      <c r="B173" s="351" t="s">
        <v>461</v>
      </c>
      <c r="C173" s="370" t="s">
        <v>232</v>
      </c>
      <c r="D173" s="361">
        <f>D174</f>
        <v>18750993</v>
      </c>
      <c r="E173" s="361">
        <f t="shared" ref="E173:F173" si="47">E174</f>
        <v>0</v>
      </c>
      <c r="F173" s="511" t="str">
        <f t="shared" si="47"/>
        <v>563</v>
      </c>
      <c r="G173" s="361">
        <f>G174</f>
        <v>500000</v>
      </c>
      <c r="H173" s="361">
        <f t="shared" ref="H173:I173" si="48">H174</f>
        <v>4000000</v>
      </c>
      <c r="I173" s="361">
        <f t="shared" si="48"/>
        <v>6000000</v>
      </c>
    </row>
    <row r="174" spans="1:11">
      <c r="A174" s="366" t="s">
        <v>462</v>
      </c>
      <c r="B174" s="367" t="s">
        <v>370</v>
      </c>
      <c r="C174" s="370" t="s">
        <v>232</v>
      </c>
      <c r="D174" s="371">
        <v>18750993</v>
      </c>
      <c r="E174" s="371"/>
      <c r="F174" s="370" t="s">
        <v>234</v>
      </c>
      <c r="G174" s="371">
        <v>500000</v>
      </c>
      <c r="H174" s="371">
        <v>4000000</v>
      </c>
      <c r="I174" s="371">
        <v>6000000</v>
      </c>
    </row>
    <row r="175" spans="1:11">
      <c r="A175" s="350" t="s">
        <v>342</v>
      </c>
      <c r="B175" s="351" t="s">
        <v>79</v>
      </c>
      <c r="C175" s="363" t="s">
        <v>232</v>
      </c>
      <c r="D175" s="353">
        <f>D177+D178</f>
        <v>309391376</v>
      </c>
      <c r="E175" s="371"/>
      <c r="F175" s="370"/>
      <c r="G175" s="361">
        <f>G177+G178+G176</f>
        <v>119029412</v>
      </c>
      <c r="H175" s="361">
        <f>H177+H178+H176</f>
        <v>221558412</v>
      </c>
      <c r="I175" s="361">
        <f>I177+I178+I176</f>
        <v>263462824</v>
      </c>
      <c r="K175" s="292"/>
    </row>
    <row r="176" spans="1:11">
      <c r="A176" s="510">
        <v>5163</v>
      </c>
      <c r="B176" s="565" t="s">
        <v>344</v>
      </c>
      <c r="C176" s="370" t="s">
        <v>232</v>
      </c>
      <c r="D176" s="353"/>
      <c r="E176" s="371"/>
      <c r="F176" s="370" t="s">
        <v>82</v>
      </c>
      <c r="G176" s="371">
        <v>0</v>
      </c>
      <c r="H176" s="371">
        <v>5029412</v>
      </c>
      <c r="I176" s="371">
        <v>10058824</v>
      </c>
      <c r="K176" s="292"/>
    </row>
    <row r="177" spans="1:9">
      <c r="A177" s="510">
        <v>5163</v>
      </c>
      <c r="B177" s="565" t="s">
        <v>344</v>
      </c>
      <c r="C177" s="370" t="s">
        <v>232</v>
      </c>
      <c r="D177" s="365">
        <v>46877482</v>
      </c>
      <c r="E177" s="371"/>
      <c r="F177" s="370" t="s">
        <v>234</v>
      </c>
      <c r="G177" s="586">
        <v>91500000</v>
      </c>
      <c r="H177" s="371">
        <v>112500000</v>
      </c>
      <c r="I177" s="371">
        <v>112500000</v>
      </c>
    </row>
    <row r="178" spans="1:9">
      <c r="A178" s="510">
        <v>5164</v>
      </c>
      <c r="B178" s="565" t="s">
        <v>345</v>
      </c>
      <c r="C178" s="370" t="s">
        <v>232</v>
      </c>
      <c r="D178" s="371">
        <v>262513894</v>
      </c>
      <c r="E178" s="371"/>
      <c r="F178" s="370" t="s">
        <v>234</v>
      </c>
      <c r="G178" s="586">
        <v>27529412</v>
      </c>
      <c r="H178" s="586">
        <v>104029000</v>
      </c>
      <c r="I178" s="586">
        <v>140904000</v>
      </c>
    </row>
    <row r="179" spans="1:9">
      <c r="A179" s="362">
        <v>518</v>
      </c>
      <c r="B179" s="351" t="s">
        <v>428</v>
      </c>
      <c r="C179" s="363" t="s">
        <v>232</v>
      </c>
      <c r="D179" s="361"/>
      <c r="E179" s="361"/>
      <c r="F179" s="363"/>
      <c r="G179" s="361">
        <f>G180+G181</f>
        <v>0</v>
      </c>
      <c r="H179" s="361">
        <f t="shared" ref="H179:I179" si="49">H180+H181</f>
        <v>215000000</v>
      </c>
      <c r="I179" s="361">
        <f t="shared" si="49"/>
        <v>215625000</v>
      </c>
    </row>
    <row r="180" spans="1:9">
      <c r="A180" s="510">
        <v>5181</v>
      </c>
      <c r="B180" s="565" t="s">
        <v>429</v>
      </c>
      <c r="C180" s="370" t="s">
        <v>232</v>
      </c>
      <c r="D180" s="361"/>
      <c r="E180" s="361"/>
      <c r="F180" s="370" t="s">
        <v>82</v>
      </c>
      <c r="G180" s="371">
        <v>0</v>
      </c>
      <c r="H180" s="371">
        <v>75000000</v>
      </c>
      <c r="I180" s="371">
        <v>112500000</v>
      </c>
    </row>
    <row r="181" spans="1:9">
      <c r="A181" s="510">
        <v>5181</v>
      </c>
      <c r="B181" s="565" t="s">
        <v>429</v>
      </c>
      <c r="C181" s="370" t="s">
        <v>232</v>
      </c>
      <c r="D181" s="371"/>
      <c r="E181" s="371"/>
      <c r="F181" s="370" t="s">
        <v>234</v>
      </c>
      <c r="G181" s="371">
        <v>0</v>
      </c>
      <c r="H181" s="371">
        <v>140000000</v>
      </c>
      <c r="I181" s="371">
        <v>103125000</v>
      </c>
    </row>
    <row r="182" spans="1:9">
      <c r="A182" s="346" t="s">
        <v>385</v>
      </c>
      <c r="B182" s="347" t="s">
        <v>369</v>
      </c>
      <c r="C182" s="348" t="s">
        <v>232</v>
      </c>
      <c r="D182" s="349">
        <f>D183+D186+D188+D191+D195+D198+D207+D211+D213+D215</f>
        <v>673772</v>
      </c>
      <c r="E182" s="349">
        <f>E183+E186+E188+E191+E195+E198+E207+E211+E213+E215</f>
        <v>-29565</v>
      </c>
      <c r="F182" s="349"/>
      <c r="G182" s="349">
        <f>G183+G186+G188+G191+G195+G198+G207+G211+G213+G215+G209</f>
        <v>7889101</v>
      </c>
      <c r="H182" s="349">
        <f t="shared" ref="H182:I182" si="50">H183+H186+H188+H191+H195+H198+H207+H211+H213+H215+H209</f>
        <v>11269571</v>
      </c>
      <c r="I182" s="349">
        <f t="shared" si="50"/>
        <v>14522575.998</v>
      </c>
    </row>
    <row r="183" spans="1:9">
      <c r="A183" s="350" t="s">
        <v>1</v>
      </c>
      <c r="B183" s="351" t="s">
        <v>2</v>
      </c>
      <c r="C183" s="352" t="s">
        <v>232</v>
      </c>
      <c r="D183" s="353">
        <f>D184+D185</f>
        <v>530548</v>
      </c>
      <c r="E183" s="353">
        <f>E184+E185</f>
        <v>0</v>
      </c>
      <c r="F183" s="353"/>
      <c r="G183" s="353">
        <f t="shared" ref="G183:I183" si="51">G184+G185</f>
        <v>3531630</v>
      </c>
      <c r="H183" s="353">
        <f t="shared" si="51"/>
        <v>5646630</v>
      </c>
      <c r="I183" s="353">
        <f t="shared" si="51"/>
        <v>5659364</v>
      </c>
    </row>
    <row r="184" spans="1:9">
      <c r="A184" s="354" t="s">
        <v>3</v>
      </c>
      <c r="B184" s="355" t="s">
        <v>4</v>
      </c>
      <c r="C184" s="364" t="s">
        <v>232</v>
      </c>
      <c r="D184" s="365">
        <f>265274+265274</f>
        <v>530548</v>
      </c>
      <c r="E184" s="365">
        <v>0</v>
      </c>
      <c r="F184" s="364" t="s">
        <v>234</v>
      </c>
      <c r="G184" s="365">
        <v>3486630</v>
      </c>
      <c r="H184" s="365">
        <f>G184+1980000</f>
        <v>5466630</v>
      </c>
      <c r="I184" s="365">
        <v>5469364</v>
      </c>
    </row>
    <row r="185" spans="1:9">
      <c r="A185" s="354" t="s">
        <v>5</v>
      </c>
      <c r="B185" s="355" t="s">
        <v>6</v>
      </c>
      <c r="C185" s="364" t="s">
        <v>232</v>
      </c>
      <c r="D185" s="365">
        <v>0</v>
      </c>
      <c r="E185" s="365">
        <v>0</v>
      </c>
      <c r="F185" s="364" t="s">
        <v>234</v>
      </c>
      <c r="G185" s="365">
        <v>45000</v>
      </c>
      <c r="H185" s="365">
        <v>180000</v>
      </c>
      <c r="I185" s="365">
        <v>190000</v>
      </c>
    </row>
    <row r="186" spans="1:9">
      <c r="A186" s="350" t="s">
        <v>7</v>
      </c>
      <c r="B186" s="351" t="s">
        <v>8</v>
      </c>
      <c r="C186" s="352" t="s">
        <v>232</v>
      </c>
      <c r="D186" s="353">
        <f>SUM(D187)</f>
        <v>0</v>
      </c>
      <c r="E186" s="353">
        <f>SUM(E187)</f>
        <v>0</v>
      </c>
      <c r="F186" s="353"/>
      <c r="G186" s="353">
        <f t="shared" ref="G186:I186" si="52">SUM(G187)</f>
        <v>105000</v>
      </c>
      <c r="H186" s="353">
        <f t="shared" si="52"/>
        <v>300000</v>
      </c>
      <c r="I186" s="353">
        <f t="shared" si="52"/>
        <v>3000000</v>
      </c>
    </row>
    <row r="187" spans="1:9">
      <c r="A187" s="354" t="s">
        <v>9</v>
      </c>
      <c r="B187" s="355" t="s">
        <v>8</v>
      </c>
      <c r="C187" s="364" t="s">
        <v>232</v>
      </c>
      <c r="D187" s="365">
        <v>0</v>
      </c>
      <c r="E187" s="365">
        <v>0</v>
      </c>
      <c r="F187" s="364" t="s">
        <v>234</v>
      </c>
      <c r="G187" s="365">
        <v>105000</v>
      </c>
      <c r="H187" s="365">
        <v>300000</v>
      </c>
      <c r="I187" s="365">
        <v>3000000</v>
      </c>
    </row>
    <row r="188" spans="1:9">
      <c r="A188" s="350" t="s">
        <v>10</v>
      </c>
      <c r="B188" s="351" t="s">
        <v>11</v>
      </c>
      <c r="C188" s="352" t="s">
        <v>232</v>
      </c>
      <c r="D188" s="353">
        <f>D189+D190</f>
        <v>110212</v>
      </c>
      <c r="E188" s="353">
        <f>E189+E190</f>
        <v>0</v>
      </c>
      <c r="F188" s="353"/>
      <c r="G188" s="353">
        <f t="shared" ref="G188:I188" si="53">G189+G190</f>
        <v>569826</v>
      </c>
      <c r="H188" s="353">
        <f t="shared" si="53"/>
        <v>971221</v>
      </c>
      <c r="I188" s="353">
        <f t="shared" si="53"/>
        <v>973411.99800000002</v>
      </c>
    </row>
    <row r="189" spans="1:9">
      <c r="A189" s="354" t="s">
        <v>12</v>
      </c>
      <c r="B189" s="355" t="s">
        <v>13</v>
      </c>
      <c r="C189" s="364" t="s">
        <v>232</v>
      </c>
      <c r="D189" s="365">
        <f>49659+49659</f>
        <v>99318</v>
      </c>
      <c r="E189" s="365">
        <v>0</v>
      </c>
      <c r="F189" s="364" t="s">
        <v>234</v>
      </c>
      <c r="G189" s="365">
        <v>513506</v>
      </c>
      <c r="H189" s="365">
        <f>H183*15.5/100+0.35</f>
        <v>875228</v>
      </c>
      <c r="I189" s="365">
        <f>I183*15.5/100+0.58</f>
        <v>877202</v>
      </c>
    </row>
    <row r="190" spans="1:9">
      <c r="A190" s="354" t="s">
        <v>14</v>
      </c>
      <c r="B190" s="355" t="s">
        <v>15</v>
      </c>
      <c r="C190" s="364" t="s">
        <v>232</v>
      </c>
      <c r="D190" s="365">
        <f>5447+5447</f>
        <v>10894</v>
      </c>
      <c r="E190" s="365">
        <v>0</v>
      </c>
      <c r="F190" s="364" t="s">
        <v>234</v>
      </c>
      <c r="G190" s="365">
        <v>56320</v>
      </c>
      <c r="H190" s="365">
        <f>H183*1.7/100+0.29</f>
        <v>95993</v>
      </c>
      <c r="I190" s="365">
        <f>I183*1.7/100+0.81</f>
        <v>96209.997999999992</v>
      </c>
    </row>
    <row r="191" spans="1:9">
      <c r="A191" s="350" t="s">
        <v>16</v>
      </c>
      <c r="B191" s="351" t="s">
        <v>17</v>
      </c>
      <c r="C191" s="352" t="s">
        <v>232</v>
      </c>
      <c r="D191" s="353">
        <f>D192+D193+D194</f>
        <v>14772</v>
      </c>
      <c r="E191" s="353">
        <f>E192+E193+E194</f>
        <v>-13021</v>
      </c>
      <c r="F191" s="353"/>
      <c r="G191" s="353">
        <f t="shared" ref="G191:I191" si="54">G192+G193+G194</f>
        <v>280645</v>
      </c>
      <c r="H191" s="353">
        <f t="shared" si="54"/>
        <v>727120</v>
      </c>
      <c r="I191" s="353">
        <f t="shared" si="54"/>
        <v>740000</v>
      </c>
    </row>
    <row r="192" spans="1:9">
      <c r="A192" s="366" t="s">
        <v>18</v>
      </c>
      <c r="B192" s="367" t="s">
        <v>19</v>
      </c>
      <c r="C192" s="364" t="s">
        <v>232</v>
      </c>
      <c r="D192" s="365">
        <v>4628</v>
      </c>
      <c r="E192" s="368">
        <v>-10285</v>
      </c>
      <c r="F192" s="364" t="s">
        <v>234</v>
      </c>
      <c r="G192" s="365">
        <v>98325</v>
      </c>
      <c r="H192" s="365">
        <v>300000</v>
      </c>
      <c r="I192" s="365">
        <v>300000</v>
      </c>
    </row>
    <row r="193" spans="1:11">
      <c r="A193" s="366" t="s">
        <v>20</v>
      </c>
      <c r="B193" s="367" t="s">
        <v>21</v>
      </c>
      <c r="C193" s="364" t="s">
        <v>232</v>
      </c>
      <c r="D193" s="365">
        <v>7407</v>
      </c>
      <c r="E193" s="365">
        <v>0</v>
      </c>
      <c r="F193" s="364" t="s">
        <v>234</v>
      </c>
      <c r="G193" s="365">
        <v>112320</v>
      </c>
      <c r="H193" s="365">
        <v>177120</v>
      </c>
      <c r="I193" s="365">
        <v>190000</v>
      </c>
    </row>
    <row r="194" spans="1:11">
      <c r="A194" s="366" t="s">
        <v>22</v>
      </c>
      <c r="B194" s="367" t="s">
        <v>23</v>
      </c>
      <c r="C194" s="364" t="s">
        <v>232</v>
      </c>
      <c r="D194" s="365">
        <v>2737</v>
      </c>
      <c r="E194" s="368">
        <v>-2736</v>
      </c>
      <c r="F194" s="364" t="s">
        <v>234</v>
      </c>
      <c r="G194" s="365">
        <v>70000</v>
      </c>
      <c r="H194" s="365">
        <v>250000</v>
      </c>
      <c r="I194" s="365">
        <v>250000</v>
      </c>
    </row>
    <row r="195" spans="1:11">
      <c r="A195" s="350" t="s">
        <v>24</v>
      </c>
      <c r="B195" s="351" t="s">
        <v>25</v>
      </c>
      <c r="C195" s="352" t="s">
        <v>232</v>
      </c>
      <c r="D195" s="353">
        <f>SUM(D196:D197)</f>
        <v>0</v>
      </c>
      <c r="E195" s="353">
        <f>SUM(E196:E197)</f>
        <v>0</v>
      </c>
      <c r="F195" s="353"/>
      <c r="G195" s="353">
        <f t="shared" ref="G195:I195" si="55">SUM(G196:G197)</f>
        <v>80000</v>
      </c>
      <c r="H195" s="353">
        <f t="shared" si="55"/>
        <v>160000</v>
      </c>
      <c r="I195" s="353">
        <f t="shared" si="55"/>
        <v>160000</v>
      </c>
    </row>
    <row r="196" spans="1:11">
      <c r="A196" s="354" t="s">
        <v>26</v>
      </c>
      <c r="B196" s="355" t="s">
        <v>27</v>
      </c>
      <c r="C196" s="364" t="s">
        <v>232</v>
      </c>
      <c r="D196" s="365">
        <v>0</v>
      </c>
      <c r="E196" s="365">
        <v>0</v>
      </c>
      <c r="F196" s="364" t="s">
        <v>234</v>
      </c>
      <c r="G196" s="365">
        <v>50000</v>
      </c>
      <c r="H196" s="365">
        <v>100000</v>
      </c>
      <c r="I196" s="365">
        <v>100000</v>
      </c>
    </row>
    <row r="197" spans="1:11">
      <c r="A197" s="354" t="s">
        <v>28</v>
      </c>
      <c r="B197" s="360" t="s">
        <v>29</v>
      </c>
      <c r="C197" s="364" t="s">
        <v>232</v>
      </c>
      <c r="D197" s="371">
        <v>0</v>
      </c>
      <c r="E197" s="371">
        <v>0</v>
      </c>
      <c r="F197" s="370" t="s">
        <v>234</v>
      </c>
      <c r="G197" s="371">
        <v>30000</v>
      </c>
      <c r="H197" s="371">
        <v>60000</v>
      </c>
      <c r="I197" s="371">
        <v>60000</v>
      </c>
    </row>
    <row r="198" spans="1:11">
      <c r="A198" s="350" t="s">
        <v>34</v>
      </c>
      <c r="B198" s="351" t="s">
        <v>35</v>
      </c>
      <c r="C198" s="352" t="s">
        <v>232</v>
      </c>
      <c r="D198" s="361">
        <f>SUM(D199:D206)</f>
        <v>1950</v>
      </c>
      <c r="E198" s="361">
        <f>SUM(E199:E206)</f>
        <v>-254</v>
      </c>
      <c r="F198" s="361"/>
      <c r="G198" s="361">
        <f t="shared" ref="G198:I198" si="56">SUM(G199:G206)</f>
        <v>1720000</v>
      </c>
      <c r="H198" s="361">
        <f t="shared" si="56"/>
        <v>2450000</v>
      </c>
      <c r="I198" s="361">
        <f t="shared" si="56"/>
        <v>3500000</v>
      </c>
    </row>
    <row r="199" spans="1:11">
      <c r="A199" s="366" t="s">
        <v>36</v>
      </c>
      <c r="B199" s="367" t="s">
        <v>37</v>
      </c>
      <c r="C199" s="364" t="s">
        <v>232</v>
      </c>
      <c r="D199" s="371">
        <v>0</v>
      </c>
      <c r="E199" s="371">
        <v>0</v>
      </c>
      <c r="F199" s="370" t="s">
        <v>234</v>
      </c>
      <c r="G199" s="371">
        <v>50000</v>
      </c>
      <c r="H199" s="371">
        <v>50000</v>
      </c>
      <c r="I199" s="371">
        <v>50000</v>
      </c>
    </row>
    <row r="200" spans="1:11">
      <c r="A200" s="366" t="s">
        <v>38</v>
      </c>
      <c r="B200" s="367" t="s">
        <v>39</v>
      </c>
      <c r="C200" s="364" t="s">
        <v>232</v>
      </c>
      <c r="D200" s="371">
        <v>0</v>
      </c>
      <c r="E200" s="371">
        <v>0</v>
      </c>
      <c r="F200" s="370" t="s">
        <v>234</v>
      </c>
      <c r="G200" s="371">
        <v>20000</v>
      </c>
      <c r="H200" s="371">
        <v>50000</v>
      </c>
      <c r="I200" s="371">
        <v>50000</v>
      </c>
    </row>
    <row r="201" spans="1:11">
      <c r="A201" s="366" t="s">
        <v>40</v>
      </c>
      <c r="B201" s="367" t="s">
        <v>41</v>
      </c>
      <c r="C201" s="364" t="s">
        <v>232</v>
      </c>
      <c r="D201" s="357">
        <v>0</v>
      </c>
      <c r="E201" s="358">
        <v>-254</v>
      </c>
      <c r="F201" s="370" t="s">
        <v>234</v>
      </c>
      <c r="G201" s="371">
        <v>1200000</v>
      </c>
      <c r="H201" s="371">
        <v>1500000</v>
      </c>
      <c r="I201" s="371">
        <v>2500000</v>
      </c>
    </row>
    <row r="202" spans="1:11">
      <c r="A202" s="366" t="s">
        <v>42</v>
      </c>
      <c r="B202" s="367" t="s">
        <v>43</v>
      </c>
      <c r="C202" s="364" t="s">
        <v>232</v>
      </c>
      <c r="D202" s="357">
        <v>0</v>
      </c>
      <c r="E202" s="357">
        <v>0</v>
      </c>
      <c r="F202" s="370" t="s">
        <v>234</v>
      </c>
      <c r="G202" s="371">
        <v>20000</v>
      </c>
      <c r="H202" s="371">
        <v>50000</v>
      </c>
      <c r="I202" s="371">
        <v>50000</v>
      </c>
    </row>
    <row r="203" spans="1:11">
      <c r="A203" s="366" t="s">
        <v>44</v>
      </c>
      <c r="B203" s="367" t="s">
        <v>45</v>
      </c>
      <c r="C203" s="364" t="s">
        <v>232</v>
      </c>
      <c r="D203" s="357">
        <v>1950</v>
      </c>
      <c r="E203" s="357">
        <v>0</v>
      </c>
      <c r="F203" s="370" t="s">
        <v>234</v>
      </c>
      <c r="G203" s="371">
        <v>50000</v>
      </c>
      <c r="H203" s="371">
        <v>200000</v>
      </c>
      <c r="I203" s="371">
        <v>200000</v>
      </c>
    </row>
    <row r="204" spans="1:11">
      <c r="A204" s="366" t="s">
        <v>48</v>
      </c>
      <c r="B204" s="367" t="s">
        <v>49</v>
      </c>
      <c r="C204" s="364" t="s">
        <v>232</v>
      </c>
      <c r="D204" s="357">
        <v>0</v>
      </c>
      <c r="E204" s="357">
        <v>0</v>
      </c>
      <c r="F204" s="370" t="s">
        <v>234</v>
      </c>
      <c r="G204" s="371">
        <v>200000</v>
      </c>
      <c r="H204" s="371">
        <v>200000</v>
      </c>
      <c r="I204" s="371">
        <v>200000</v>
      </c>
    </row>
    <row r="205" spans="1:11">
      <c r="A205" s="366" t="s">
        <v>50</v>
      </c>
      <c r="B205" s="367" t="s">
        <v>51</v>
      </c>
      <c r="C205" s="364" t="s">
        <v>232</v>
      </c>
      <c r="D205" s="357">
        <v>0</v>
      </c>
      <c r="E205" s="357">
        <v>0</v>
      </c>
      <c r="F205" s="370" t="s">
        <v>234</v>
      </c>
      <c r="G205" s="371">
        <v>30000</v>
      </c>
      <c r="H205" s="371">
        <v>200000</v>
      </c>
      <c r="I205" s="371">
        <v>200000</v>
      </c>
    </row>
    <row r="206" spans="1:11">
      <c r="A206" s="366" t="s">
        <v>52</v>
      </c>
      <c r="B206" s="367" t="s">
        <v>53</v>
      </c>
      <c r="C206" s="364" t="s">
        <v>232</v>
      </c>
      <c r="D206" s="357">
        <v>0</v>
      </c>
      <c r="E206" s="357">
        <v>0</v>
      </c>
      <c r="F206" s="370" t="s">
        <v>234</v>
      </c>
      <c r="G206" s="371">
        <v>150000</v>
      </c>
      <c r="H206" s="371">
        <v>200000</v>
      </c>
      <c r="I206" s="371">
        <v>250000</v>
      </c>
      <c r="K206" s="292"/>
    </row>
    <row r="207" spans="1:11">
      <c r="A207" s="362" t="s">
        <v>57</v>
      </c>
      <c r="B207" s="351" t="s">
        <v>58</v>
      </c>
      <c r="C207" s="352" t="s">
        <v>232</v>
      </c>
      <c r="D207" s="361">
        <f>SUM(D208)</f>
        <v>1290</v>
      </c>
      <c r="E207" s="361">
        <f>SUM(E208)</f>
        <v>-1290</v>
      </c>
      <c r="F207" s="361"/>
      <c r="G207" s="361">
        <f t="shared" ref="G207:I207" si="57">SUM(G208)</f>
        <v>50000</v>
      </c>
      <c r="H207" s="361">
        <f t="shared" si="57"/>
        <v>250000</v>
      </c>
      <c r="I207" s="361">
        <f t="shared" si="57"/>
        <v>25000</v>
      </c>
    </row>
    <row r="208" spans="1:11">
      <c r="A208" s="369" t="s">
        <v>63</v>
      </c>
      <c r="B208" s="367" t="s">
        <v>64</v>
      </c>
      <c r="C208" s="364" t="s">
        <v>232</v>
      </c>
      <c r="D208" s="357">
        <v>1290</v>
      </c>
      <c r="E208" s="358">
        <v>-1290</v>
      </c>
      <c r="F208" s="356" t="s">
        <v>234</v>
      </c>
      <c r="G208" s="371">
        <v>50000</v>
      </c>
      <c r="H208" s="371">
        <v>250000</v>
      </c>
      <c r="I208" s="371">
        <v>25000</v>
      </c>
    </row>
    <row r="209" spans="1:9">
      <c r="A209" s="350" t="s">
        <v>196</v>
      </c>
      <c r="B209" s="351" t="s">
        <v>241</v>
      </c>
      <c r="C209" s="352" t="s">
        <v>232</v>
      </c>
      <c r="D209" s="361">
        <f>D210</f>
        <v>18750993</v>
      </c>
      <c r="E209" s="361">
        <f t="shared" ref="E209:I209" si="58">E210</f>
        <v>0</v>
      </c>
      <c r="F209" s="511" t="str">
        <f t="shared" si="58"/>
        <v>563</v>
      </c>
      <c r="G209" s="361">
        <f t="shared" si="58"/>
        <v>0</v>
      </c>
      <c r="H209" s="361">
        <f t="shared" si="58"/>
        <v>0</v>
      </c>
      <c r="I209" s="361">
        <f t="shared" si="58"/>
        <v>0</v>
      </c>
    </row>
    <row r="210" spans="1:9">
      <c r="A210" s="366" t="s">
        <v>197</v>
      </c>
      <c r="B210" s="367" t="s">
        <v>370</v>
      </c>
      <c r="C210" s="364" t="s">
        <v>232</v>
      </c>
      <c r="D210" s="357">
        <v>18750993</v>
      </c>
      <c r="E210" s="358"/>
      <c r="F210" s="356" t="s">
        <v>234</v>
      </c>
      <c r="G210" s="515">
        <v>0</v>
      </c>
      <c r="H210" s="371">
        <v>0</v>
      </c>
      <c r="I210" s="371">
        <v>0</v>
      </c>
    </row>
    <row r="211" spans="1:9">
      <c r="A211" s="350" t="s">
        <v>83</v>
      </c>
      <c r="B211" s="351" t="s">
        <v>84</v>
      </c>
      <c r="C211" s="352" t="s">
        <v>232</v>
      </c>
      <c r="D211" s="361">
        <f>SUM(D212)</f>
        <v>0</v>
      </c>
      <c r="E211" s="361">
        <f>SUM(E212)</f>
        <v>0</v>
      </c>
      <c r="F211" s="361"/>
      <c r="G211" s="361">
        <f t="shared" ref="G211:I211" si="59">SUM(G212)</f>
        <v>52000</v>
      </c>
      <c r="H211" s="361">
        <f t="shared" si="59"/>
        <v>114600</v>
      </c>
      <c r="I211" s="361">
        <f t="shared" si="59"/>
        <v>64800</v>
      </c>
    </row>
    <row r="212" spans="1:9">
      <c r="A212" s="354" t="s">
        <v>85</v>
      </c>
      <c r="B212" s="355" t="s">
        <v>86</v>
      </c>
      <c r="C212" s="364" t="s">
        <v>232</v>
      </c>
      <c r="D212" s="357">
        <v>0</v>
      </c>
      <c r="E212" s="357">
        <v>0</v>
      </c>
      <c r="F212" s="356" t="s">
        <v>234</v>
      </c>
      <c r="G212" s="371">
        <v>52000</v>
      </c>
      <c r="H212" s="371">
        <v>114600</v>
      </c>
      <c r="I212" s="371">
        <v>64800</v>
      </c>
    </row>
    <row r="213" spans="1:9">
      <c r="A213" s="350" t="s">
        <v>88</v>
      </c>
      <c r="B213" s="351" t="s">
        <v>89</v>
      </c>
      <c r="C213" s="352" t="s">
        <v>232</v>
      </c>
      <c r="D213" s="361">
        <f>D214</f>
        <v>0</v>
      </c>
      <c r="E213" s="361">
        <f>E214</f>
        <v>0</v>
      </c>
      <c r="F213" s="361"/>
      <c r="G213" s="361">
        <f t="shared" ref="G213:I213" si="60">G214</f>
        <v>200000</v>
      </c>
      <c r="H213" s="361">
        <f t="shared" si="60"/>
        <v>250000</v>
      </c>
      <c r="I213" s="361">
        <f t="shared" si="60"/>
        <v>100000</v>
      </c>
    </row>
    <row r="214" spans="1:9">
      <c r="A214" s="354" t="s">
        <v>90</v>
      </c>
      <c r="B214" s="355" t="s">
        <v>91</v>
      </c>
      <c r="C214" s="364" t="s">
        <v>232</v>
      </c>
      <c r="D214" s="357">
        <v>0</v>
      </c>
      <c r="E214" s="357">
        <v>0</v>
      </c>
      <c r="F214" s="356" t="s">
        <v>234</v>
      </c>
      <c r="G214" s="371">
        <v>200000</v>
      </c>
      <c r="H214" s="371">
        <v>250000</v>
      </c>
      <c r="I214" s="371">
        <v>100000</v>
      </c>
    </row>
    <row r="215" spans="1:9">
      <c r="A215" s="354">
        <v>426</v>
      </c>
      <c r="B215" s="372" t="s">
        <v>363</v>
      </c>
      <c r="C215" s="364" t="s">
        <v>232</v>
      </c>
      <c r="D215" s="361">
        <f>D216</f>
        <v>15000</v>
      </c>
      <c r="E215" s="361">
        <f>E216</f>
        <v>-15000</v>
      </c>
      <c r="F215" s="361"/>
      <c r="G215" s="361">
        <f t="shared" ref="G215:I215" si="61">G216</f>
        <v>1300000</v>
      </c>
      <c r="H215" s="361">
        <f t="shared" si="61"/>
        <v>400000</v>
      </c>
      <c r="I215" s="361">
        <f t="shared" si="61"/>
        <v>300000</v>
      </c>
    </row>
    <row r="216" spans="1:9">
      <c r="A216" s="354">
        <v>4262</v>
      </c>
      <c r="B216" s="360" t="s">
        <v>182</v>
      </c>
      <c r="C216" s="364" t="s">
        <v>232</v>
      </c>
      <c r="D216" s="357">
        <v>15000</v>
      </c>
      <c r="E216" s="358">
        <v>-15000</v>
      </c>
      <c r="F216" s="356" t="s">
        <v>234</v>
      </c>
      <c r="G216" s="371">
        <v>1300000</v>
      </c>
      <c r="H216" s="371">
        <v>400000</v>
      </c>
      <c r="I216" s="371">
        <v>300000</v>
      </c>
    </row>
    <row r="217" spans="1:9">
      <c r="A217" s="346" t="s">
        <v>386</v>
      </c>
      <c r="B217" s="347" t="s">
        <v>349</v>
      </c>
      <c r="C217" s="348" t="s">
        <v>232</v>
      </c>
      <c r="D217" s="349">
        <f>D220+D223+D226</f>
        <v>7461511.8000000007</v>
      </c>
      <c r="E217" s="349">
        <f>E220+E223+E226</f>
        <v>7461509</v>
      </c>
      <c r="F217" s="349"/>
      <c r="G217" s="349">
        <f>G220+G223+G226+G218</f>
        <v>6850000</v>
      </c>
      <c r="H217" s="349">
        <f t="shared" ref="H217:I217" si="62">H220+H223+H226+H218</f>
        <v>3850000</v>
      </c>
      <c r="I217" s="349">
        <f t="shared" si="62"/>
        <v>3500000</v>
      </c>
    </row>
    <row r="218" spans="1:9">
      <c r="A218" s="350" t="s">
        <v>430</v>
      </c>
      <c r="B218" s="351" t="s">
        <v>35</v>
      </c>
      <c r="C218" s="356" t="s">
        <v>232</v>
      </c>
      <c r="D218" s="361">
        <f>D219</f>
        <v>0</v>
      </c>
      <c r="E218" s="357"/>
      <c r="F218" s="356"/>
      <c r="G218" s="361">
        <f>G219</f>
        <v>800000</v>
      </c>
      <c r="H218" s="361">
        <f t="shared" ref="H218:I218" si="63">H219</f>
        <v>200000</v>
      </c>
      <c r="I218" s="361">
        <f t="shared" si="63"/>
        <v>0</v>
      </c>
    </row>
    <row r="219" spans="1:9">
      <c r="A219" s="354">
        <v>3237</v>
      </c>
      <c r="B219" s="355" t="s">
        <v>49</v>
      </c>
      <c r="C219" s="356" t="s">
        <v>232</v>
      </c>
      <c r="D219" s="357">
        <v>0</v>
      </c>
      <c r="E219" s="357"/>
      <c r="F219" s="356" t="s">
        <v>0</v>
      </c>
      <c r="G219" s="371">
        <v>800000</v>
      </c>
      <c r="H219" s="371">
        <v>200000</v>
      </c>
      <c r="I219" s="371">
        <v>0</v>
      </c>
    </row>
    <row r="220" spans="1:9">
      <c r="A220" s="350" t="s">
        <v>196</v>
      </c>
      <c r="B220" s="351" t="s">
        <v>340</v>
      </c>
      <c r="C220" s="356" t="s">
        <v>232</v>
      </c>
      <c r="D220" s="361">
        <f>SUM(D221:D222)</f>
        <v>893362.77</v>
      </c>
      <c r="E220" s="361">
        <f>SUM(E221:E222)</f>
        <v>893362</v>
      </c>
      <c r="F220" s="361"/>
      <c r="G220" s="361">
        <f t="shared" ref="G220:I220" si="64">SUM(G221:G222)</f>
        <v>1850000</v>
      </c>
      <c r="H220" s="361">
        <f t="shared" si="64"/>
        <v>150000</v>
      </c>
      <c r="I220" s="361">
        <f t="shared" si="64"/>
        <v>0</v>
      </c>
    </row>
    <row r="221" spans="1:9" s="294" customFormat="1">
      <c r="A221" s="354">
        <v>3522</v>
      </c>
      <c r="B221" s="355" t="s">
        <v>198</v>
      </c>
      <c r="C221" s="356" t="s">
        <v>232</v>
      </c>
      <c r="D221" s="357">
        <f>207439.37+600000</f>
        <v>807439.37</v>
      </c>
      <c r="E221" s="357">
        <v>807439</v>
      </c>
      <c r="F221" s="356" t="s">
        <v>0</v>
      </c>
      <c r="G221" s="371">
        <v>1750000</v>
      </c>
      <c r="H221" s="371">
        <v>150000</v>
      </c>
      <c r="I221" s="371">
        <v>0</v>
      </c>
    </row>
    <row r="222" spans="1:9">
      <c r="A222" s="354">
        <v>3523</v>
      </c>
      <c r="B222" s="355" t="s">
        <v>341</v>
      </c>
      <c r="C222" s="356" t="s">
        <v>232</v>
      </c>
      <c r="D222" s="357">
        <f>85923.4</f>
        <v>85923.4</v>
      </c>
      <c r="E222" s="357">
        <v>85923</v>
      </c>
      <c r="F222" s="356" t="s">
        <v>0</v>
      </c>
      <c r="G222" s="371">
        <v>100000</v>
      </c>
      <c r="H222" s="371">
        <v>0</v>
      </c>
      <c r="I222" s="371">
        <v>0</v>
      </c>
    </row>
    <row r="223" spans="1:9" s="294" customFormat="1">
      <c r="A223" s="362">
        <v>386</v>
      </c>
      <c r="B223" s="351" t="s">
        <v>318</v>
      </c>
      <c r="C223" s="356" t="s">
        <v>232</v>
      </c>
      <c r="D223" s="361">
        <f>SUM(D224:D225)</f>
        <v>3559380.12</v>
      </c>
      <c r="E223" s="361">
        <f>SUM(E224:E225)</f>
        <v>3559379</v>
      </c>
      <c r="F223" s="361"/>
      <c r="G223" s="361">
        <f t="shared" ref="G223:I223" si="65">SUM(G224:G225)</f>
        <v>700000</v>
      </c>
      <c r="H223" s="361">
        <f t="shared" si="65"/>
        <v>0</v>
      </c>
      <c r="I223" s="361">
        <f t="shared" si="65"/>
        <v>0</v>
      </c>
    </row>
    <row r="224" spans="1:9" s="294" customFormat="1">
      <c r="A224" s="354">
        <v>3862</v>
      </c>
      <c r="B224" s="355" t="s">
        <v>347</v>
      </c>
      <c r="C224" s="356" t="s">
        <v>232</v>
      </c>
      <c r="D224" s="357">
        <v>2859795.69</v>
      </c>
      <c r="E224" s="357">
        <v>2859795</v>
      </c>
      <c r="F224" s="356" t="s">
        <v>0</v>
      </c>
      <c r="G224" s="371">
        <v>500000</v>
      </c>
      <c r="H224" s="371">
        <v>0</v>
      </c>
      <c r="I224" s="371">
        <v>0</v>
      </c>
    </row>
    <row r="225" spans="1:9">
      <c r="A225" s="354">
        <v>3863</v>
      </c>
      <c r="B225" s="355" t="s">
        <v>348</v>
      </c>
      <c r="C225" s="356" t="s">
        <v>232</v>
      </c>
      <c r="D225" s="357">
        <v>699584.43</v>
      </c>
      <c r="E225" s="357">
        <v>699584</v>
      </c>
      <c r="F225" s="356" t="s">
        <v>0</v>
      </c>
      <c r="G225" s="371">
        <v>200000</v>
      </c>
      <c r="H225" s="371">
        <v>0</v>
      </c>
      <c r="I225" s="371">
        <v>0</v>
      </c>
    </row>
    <row r="226" spans="1:9" s="294" customFormat="1">
      <c r="A226" s="350" t="s">
        <v>364</v>
      </c>
      <c r="B226" s="351" t="s">
        <v>365</v>
      </c>
      <c r="C226" s="356" t="s">
        <v>232</v>
      </c>
      <c r="D226" s="353">
        <f>D227</f>
        <v>3008768.91</v>
      </c>
      <c r="E226" s="353">
        <f>E227</f>
        <v>3008768</v>
      </c>
      <c r="F226" s="353"/>
      <c r="G226" s="353">
        <f t="shared" ref="G226:I226" si="66">G227</f>
        <v>3500000</v>
      </c>
      <c r="H226" s="353">
        <f t="shared" si="66"/>
        <v>3500000</v>
      </c>
      <c r="I226" s="353">
        <f t="shared" si="66"/>
        <v>3500000</v>
      </c>
    </row>
    <row r="227" spans="1:9">
      <c r="A227" s="366" t="s">
        <v>366</v>
      </c>
      <c r="B227" s="367" t="s">
        <v>365</v>
      </c>
      <c r="C227" s="356" t="s">
        <v>232</v>
      </c>
      <c r="D227" s="365">
        <v>3008768.91</v>
      </c>
      <c r="E227" s="365">
        <v>3008768</v>
      </c>
      <c r="F227" s="364" t="s">
        <v>82</v>
      </c>
      <c r="G227" s="365">
        <v>3500000</v>
      </c>
      <c r="H227" s="365">
        <v>3500000</v>
      </c>
      <c r="I227" s="365">
        <v>3500000</v>
      </c>
    </row>
    <row r="228" spans="1:9" s="294" customFormat="1">
      <c r="A228" s="346" t="s">
        <v>387</v>
      </c>
      <c r="B228" s="347" t="s">
        <v>388</v>
      </c>
      <c r="C228" s="348" t="s">
        <v>232</v>
      </c>
      <c r="D228" s="349">
        <f>D229+D232+D239+D245+D242</f>
        <v>4588344.2200000007</v>
      </c>
      <c r="E228" s="349">
        <f>E229+E232+E239+E245+E242</f>
        <v>4588341</v>
      </c>
      <c r="F228" s="349"/>
      <c r="G228" s="349">
        <f>G229+G232+G239+G245+G242</f>
        <v>8236000</v>
      </c>
      <c r="H228" s="349">
        <f>H229+H232+H239+H245+H242</f>
        <v>8354105</v>
      </c>
      <c r="I228" s="349">
        <f>I229+I232+I239+I245+I242</f>
        <v>8673542</v>
      </c>
    </row>
    <row r="229" spans="1:9">
      <c r="A229" s="350" t="s">
        <v>16</v>
      </c>
      <c r="B229" s="351" t="s">
        <v>17</v>
      </c>
      <c r="C229" s="364" t="s">
        <v>232</v>
      </c>
      <c r="D229" s="353">
        <f>D230+D231</f>
        <v>101903</v>
      </c>
      <c r="E229" s="353">
        <f>E230+E231</f>
        <v>101903</v>
      </c>
      <c r="F229" s="373"/>
      <c r="G229" s="353">
        <f>G230+G231</f>
        <v>80000</v>
      </c>
      <c r="H229" s="353">
        <f>H230+H231</f>
        <v>80000</v>
      </c>
      <c r="I229" s="353">
        <f>I230+I231</f>
        <v>80000</v>
      </c>
    </row>
    <row r="230" spans="1:9" s="294" customFormat="1">
      <c r="A230" s="366" t="s">
        <v>18</v>
      </c>
      <c r="B230" s="367" t="s">
        <v>19</v>
      </c>
      <c r="C230" s="364" t="s">
        <v>232</v>
      </c>
      <c r="D230" s="365">
        <v>61933</v>
      </c>
      <c r="E230" s="365">
        <v>61933</v>
      </c>
      <c r="F230" s="364" t="s">
        <v>0</v>
      </c>
      <c r="G230" s="371">
        <v>40000</v>
      </c>
      <c r="H230" s="371">
        <v>40000</v>
      </c>
      <c r="I230" s="371">
        <v>40000</v>
      </c>
    </row>
    <row r="231" spans="1:9" s="294" customFormat="1">
      <c r="A231" s="366" t="s">
        <v>18</v>
      </c>
      <c r="B231" s="367" t="s">
        <v>19</v>
      </c>
      <c r="C231" s="364" t="s">
        <v>232</v>
      </c>
      <c r="D231" s="365">
        <v>39970</v>
      </c>
      <c r="E231" s="365">
        <v>39970</v>
      </c>
      <c r="F231" s="364" t="s">
        <v>315</v>
      </c>
      <c r="G231" s="371">
        <v>40000</v>
      </c>
      <c r="H231" s="371">
        <v>40000</v>
      </c>
      <c r="I231" s="371">
        <v>40000</v>
      </c>
    </row>
    <row r="232" spans="1:9" s="294" customFormat="1">
      <c r="A232" s="350" t="s">
        <v>34</v>
      </c>
      <c r="B232" s="351" t="s">
        <v>35</v>
      </c>
      <c r="C232" s="364" t="s">
        <v>232</v>
      </c>
      <c r="D232" s="353">
        <f>D233+D234+D235+D236+D237+D238</f>
        <v>246121.24</v>
      </c>
      <c r="E232" s="353">
        <f>E233+E234+E235+E236+E237+E238</f>
        <v>246120</v>
      </c>
      <c r="F232" s="373"/>
      <c r="G232" s="353">
        <f>G233+G234+G235+G236+G237+G238</f>
        <v>220000</v>
      </c>
      <c r="H232" s="353">
        <f t="shared" ref="H232:I232" si="67">H233+H234+H235+H236+H237+H238</f>
        <v>220000</v>
      </c>
      <c r="I232" s="353">
        <f t="shared" si="67"/>
        <v>220000</v>
      </c>
    </row>
    <row r="233" spans="1:9">
      <c r="A233" s="366" t="s">
        <v>40</v>
      </c>
      <c r="B233" s="367" t="s">
        <v>41</v>
      </c>
      <c r="C233" s="364" t="s">
        <v>232</v>
      </c>
      <c r="D233" s="365">
        <v>20000</v>
      </c>
      <c r="E233" s="365">
        <v>20000</v>
      </c>
      <c r="F233" s="374" t="s">
        <v>0</v>
      </c>
      <c r="G233" s="371">
        <v>20000</v>
      </c>
      <c r="H233" s="371">
        <v>20000</v>
      </c>
      <c r="I233" s="371">
        <v>20000</v>
      </c>
    </row>
    <row r="234" spans="1:9" s="295" customFormat="1">
      <c r="A234" s="366" t="s">
        <v>40</v>
      </c>
      <c r="B234" s="367" t="s">
        <v>41</v>
      </c>
      <c r="C234" s="364" t="s">
        <v>232</v>
      </c>
      <c r="D234" s="365">
        <v>48652.5</v>
      </c>
      <c r="E234" s="365">
        <v>48652</v>
      </c>
      <c r="F234" s="364" t="s">
        <v>315</v>
      </c>
      <c r="G234" s="371">
        <v>50000</v>
      </c>
      <c r="H234" s="371">
        <v>50000</v>
      </c>
      <c r="I234" s="371">
        <v>50000</v>
      </c>
    </row>
    <row r="235" spans="1:9">
      <c r="A235" s="366" t="s">
        <v>44</v>
      </c>
      <c r="B235" s="367" t="s">
        <v>45</v>
      </c>
      <c r="C235" s="364" t="s">
        <v>232</v>
      </c>
      <c r="D235" s="365">
        <v>17468.740000000002</v>
      </c>
      <c r="E235" s="365">
        <v>17468</v>
      </c>
      <c r="F235" s="364" t="s">
        <v>0</v>
      </c>
      <c r="G235" s="371">
        <v>10000</v>
      </c>
      <c r="H235" s="371">
        <v>10000</v>
      </c>
      <c r="I235" s="371">
        <v>10000</v>
      </c>
    </row>
    <row r="236" spans="1:9">
      <c r="A236" s="366" t="s">
        <v>48</v>
      </c>
      <c r="B236" s="367" t="s">
        <v>49</v>
      </c>
      <c r="C236" s="364" t="s">
        <v>232</v>
      </c>
      <c r="D236" s="365">
        <v>60000</v>
      </c>
      <c r="E236" s="365">
        <v>60000</v>
      </c>
      <c r="F236" s="364" t="s">
        <v>0</v>
      </c>
      <c r="G236" s="371">
        <v>40000</v>
      </c>
      <c r="H236" s="371">
        <v>40000</v>
      </c>
      <c r="I236" s="371">
        <v>40000</v>
      </c>
    </row>
    <row r="237" spans="1:9">
      <c r="A237" s="366" t="s">
        <v>48</v>
      </c>
      <c r="B237" s="367" t="s">
        <v>49</v>
      </c>
      <c r="C237" s="364" t="s">
        <v>232</v>
      </c>
      <c r="D237" s="365">
        <v>80000</v>
      </c>
      <c r="E237" s="365">
        <v>80000</v>
      </c>
      <c r="F237" s="364" t="s">
        <v>315</v>
      </c>
      <c r="G237" s="371">
        <v>80000</v>
      </c>
      <c r="H237" s="371">
        <v>80000</v>
      </c>
      <c r="I237" s="371">
        <v>80000</v>
      </c>
    </row>
    <row r="238" spans="1:9">
      <c r="A238" s="366" t="s">
        <v>52</v>
      </c>
      <c r="B238" s="367" t="s">
        <v>53</v>
      </c>
      <c r="C238" s="364" t="s">
        <v>232</v>
      </c>
      <c r="D238" s="365">
        <v>20000</v>
      </c>
      <c r="E238" s="365">
        <v>20000</v>
      </c>
      <c r="F238" s="364" t="s">
        <v>0</v>
      </c>
      <c r="G238" s="371">
        <v>20000</v>
      </c>
      <c r="H238" s="371">
        <v>20000</v>
      </c>
      <c r="I238" s="371">
        <v>20000</v>
      </c>
    </row>
    <row r="239" spans="1:9">
      <c r="A239" s="362" t="s">
        <v>54</v>
      </c>
      <c r="B239" s="351" t="s">
        <v>55</v>
      </c>
      <c r="C239" s="364" t="s">
        <v>232</v>
      </c>
      <c r="D239" s="353">
        <f>D240+D241</f>
        <v>159429.45000000001</v>
      </c>
      <c r="E239" s="353">
        <f>E240+E241</f>
        <v>159429</v>
      </c>
      <c r="F239" s="373"/>
      <c r="G239" s="353">
        <f>G240+G241</f>
        <v>150000</v>
      </c>
      <c r="H239" s="353">
        <f t="shared" ref="H239:I239" si="68">H240+H241</f>
        <v>150000</v>
      </c>
      <c r="I239" s="353">
        <f t="shared" si="68"/>
        <v>150000</v>
      </c>
    </row>
    <row r="240" spans="1:9">
      <c r="A240" s="369" t="s">
        <v>56</v>
      </c>
      <c r="B240" s="367" t="s">
        <v>55</v>
      </c>
      <c r="C240" s="364" t="s">
        <v>232</v>
      </c>
      <c r="D240" s="365">
        <v>59429.45</v>
      </c>
      <c r="E240" s="365">
        <v>59429</v>
      </c>
      <c r="F240" s="374" t="s">
        <v>0</v>
      </c>
      <c r="G240" s="365">
        <v>50000</v>
      </c>
      <c r="H240" s="365">
        <v>50000</v>
      </c>
      <c r="I240" s="365">
        <v>50000</v>
      </c>
    </row>
    <row r="241" spans="1:9">
      <c r="A241" s="369" t="s">
        <v>56</v>
      </c>
      <c r="B241" s="367" t="s">
        <v>55</v>
      </c>
      <c r="C241" s="364" t="s">
        <v>232</v>
      </c>
      <c r="D241" s="365">
        <v>100000</v>
      </c>
      <c r="E241" s="365">
        <v>100000</v>
      </c>
      <c r="F241" s="364" t="s">
        <v>315</v>
      </c>
      <c r="G241" s="365">
        <v>100000</v>
      </c>
      <c r="H241" s="365">
        <v>100000</v>
      </c>
      <c r="I241" s="517">
        <v>100000</v>
      </c>
    </row>
    <row r="242" spans="1:9">
      <c r="A242" s="362" t="s">
        <v>57</v>
      </c>
      <c r="B242" s="351" t="s">
        <v>58</v>
      </c>
      <c r="C242" s="364" t="s">
        <v>232</v>
      </c>
      <c r="D242" s="353">
        <f>D243+D244</f>
        <v>86000</v>
      </c>
      <c r="E242" s="353">
        <f>E243+E244</f>
        <v>86000</v>
      </c>
      <c r="F242" s="352"/>
      <c r="G242" s="353">
        <f>G243+G244</f>
        <v>86000</v>
      </c>
      <c r="H242" s="353">
        <f t="shared" ref="H242:I242" si="69">H243+H244</f>
        <v>86000</v>
      </c>
      <c r="I242" s="353">
        <f t="shared" si="69"/>
        <v>86000</v>
      </c>
    </row>
    <row r="243" spans="1:9">
      <c r="A243" s="369" t="s">
        <v>63</v>
      </c>
      <c r="B243" s="367" t="s">
        <v>64</v>
      </c>
      <c r="C243" s="364" t="s">
        <v>232</v>
      </c>
      <c r="D243" s="365">
        <v>20000</v>
      </c>
      <c r="E243" s="365">
        <v>20000</v>
      </c>
      <c r="F243" s="364" t="s">
        <v>0</v>
      </c>
      <c r="G243" s="365">
        <v>20000</v>
      </c>
      <c r="H243" s="365">
        <v>20000</v>
      </c>
      <c r="I243" s="517">
        <v>20000</v>
      </c>
    </row>
    <row r="244" spans="1:9">
      <c r="A244" s="369">
        <v>3294</v>
      </c>
      <c r="B244" s="367" t="s">
        <v>360</v>
      </c>
      <c r="C244" s="364" t="s">
        <v>232</v>
      </c>
      <c r="D244" s="365">
        <v>66000</v>
      </c>
      <c r="E244" s="365">
        <v>66000</v>
      </c>
      <c r="F244" s="364" t="s">
        <v>0</v>
      </c>
      <c r="G244" s="365">
        <v>66000</v>
      </c>
      <c r="H244" s="365">
        <v>66000</v>
      </c>
      <c r="I244" s="517">
        <v>66000</v>
      </c>
    </row>
    <row r="245" spans="1:9">
      <c r="A245" s="350" t="s">
        <v>196</v>
      </c>
      <c r="B245" s="351" t="s">
        <v>340</v>
      </c>
      <c r="C245" s="364" t="s">
        <v>232</v>
      </c>
      <c r="D245" s="353">
        <f>D246+D247+D248</f>
        <v>3994890.5300000003</v>
      </c>
      <c r="E245" s="353">
        <f>E246+E247+E248</f>
        <v>3994889</v>
      </c>
      <c r="F245" s="373"/>
      <c r="G245" s="353">
        <f>G246+G247+G248</f>
        <v>7700000</v>
      </c>
      <c r="H245" s="353">
        <f>H246+H247+H248</f>
        <v>7818105</v>
      </c>
      <c r="I245" s="353">
        <f t="shared" ref="I245" si="70">I246+I247+I248</f>
        <v>8137542</v>
      </c>
    </row>
    <row r="246" spans="1:9">
      <c r="A246" s="366" t="s">
        <v>197</v>
      </c>
      <c r="B246" s="367" t="s">
        <v>198</v>
      </c>
      <c r="C246" s="364" t="s">
        <v>232</v>
      </c>
      <c r="D246" s="365">
        <v>3737967.89</v>
      </c>
      <c r="E246" s="365">
        <v>3737967</v>
      </c>
      <c r="F246" s="374" t="s">
        <v>0</v>
      </c>
      <c r="G246" s="365">
        <v>4700000</v>
      </c>
      <c r="H246" s="365">
        <v>4248105</v>
      </c>
      <c r="I246" s="365">
        <v>4337542</v>
      </c>
    </row>
    <row r="247" spans="1:9">
      <c r="A247" s="354">
        <v>3522</v>
      </c>
      <c r="B247" s="355" t="s">
        <v>198</v>
      </c>
      <c r="C247" s="364" t="s">
        <v>232</v>
      </c>
      <c r="D247" s="371">
        <v>0</v>
      </c>
      <c r="E247" s="371">
        <v>0</v>
      </c>
      <c r="F247" s="370" t="s">
        <v>82</v>
      </c>
      <c r="G247" s="371">
        <v>346500</v>
      </c>
      <c r="H247" s="371">
        <v>412335</v>
      </c>
      <c r="I247" s="517">
        <v>438900</v>
      </c>
    </row>
    <row r="248" spans="1:9">
      <c r="A248" s="354">
        <v>3522</v>
      </c>
      <c r="B248" s="355" t="s">
        <v>198</v>
      </c>
      <c r="C248" s="364" t="s">
        <v>232</v>
      </c>
      <c r="D248" s="371">
        <v>256922.64</v>
      </c>
      <c r="E248" s="371">
        <v>256922</v>
      </c>
      <c r="F248" s="370" t="s">
        <v>315</v>
      </c>
      <c r="G248" s="371">
        <v>2653500</v>
      </c>
      <c r="H248" s="371">
        <v>3157665</v>
      </c>
      <c r="I248" s="518">
        <v>3361100</v>
      </c>
    </row>
    <row r="249" spans="1:9">
      <c r="A249" s="375" t="s">
        <v>389</v>
      </c>
      <c r="B249" s="376" t="s">
        <v>355</v>
      </c>
      <c r="C249" s="348" t="s">
        <v>350</v>
      </c>
      <c r="D249" s="349">
        <f>D250+D254+D256+D265+D267+D270</f>
        <v>369760.83000000007</v>
      </c>
      <c r="E249" s="349">
        <f>E250+E254+E256+E265+E267+E270</f>
        <v>369757</v>
      </c>
      <c r="F249" s="349"/>
      <c r="G249" s="349">
        <f>G250+G254+G256+G265+G267+G270</f>
        <v>540950</v>
      </c>
      <c r="H249" s="349">
        <f t="shared" ref="H249:I249" si="71">H250+H254+H256+H265+H267+H270</f>
        <v>540950</v>
      </c>
      <c r="I249" s="349">
        <f t="shared" si="71"/>
        <v>540950</v>
      </c>
    </row>
    <row r="250" spans="1:9">
      <c r="A250" s="350" t="s">
        <v>16</v>
      </c>
      <c r="B250" s="351" t="s">
        <v>17</v>
      </c>
      <c r="C250" s="352" t="s">
        <v>350</v>
      </c>
      <c r="D250" s="353">
        <f>SUM(D251:D253)</f>
        <v>88089.260000000009</v>
      </c>
      <c r="E250" s="353">
        <f>SUM(E251:E253)</f>
        <v>88088</v>
      </c>
      <c r="F250" s="353"/>
      <c r="G250" s="353">
        <f t="shared" ref="G250:I250" si="72">SUM(G251:G253)</f>
        <v>120000</v>
      </c>
      <c r="H250" s="353">
        <f t="shared" si="72"/>
        <v>120000</v>
      </c>
      <c r="I250" s="353">
        <f t="shared" si="72"/>
        <v>120000</v>
      </c>
    </row>
    <row r="251" spans="1:9">
      <c r="A251" s="354" t="s">
        <v>18</v>
      </c>
      <c r="B251" s="355" t="s">
        <v>19</v>
      </c>
      <c r="C251" s="356" t="s">
        <v>350</v>
      </c>
      <c r="D251" s="357">
        <v>59538.91</v>
      </c>
      <c r="E251" s="357">
        <v>59538</v>
      </c>
      <c r="F251" s="356" t="s">
        <v>235</v>
      </c>
      <c r="G251" s="371">
        <v>115000</v>
      </c>
      <c r="H251" s="371">
        <v>115000</v>
      </c>
      <c r="I251" s="371">
        <v>115000</v>
      </c>
    </row>
    <row r="252" spans="1:9">
      <c r="A252" s="354" t="s">
        <v>22</v>
      </c>
      <c r="B252" s="355" t="s">
        <v>23</v>
      </c>
      <c r="C252" s="356" t="s">
        <v>350</v>
      </c>
      <c r="D252" s="357">
        <v>18550.349999999999</v>
      </c>
      <c r="E252" s="357">
        <v>18550</v>
      </c>
      <c r="F252" s="356" t="s">
        <v>235</v>
      </c>
      <c r="G252" s="371">
        <v>5000</v>
      </c>
      <c r="H252" s="371">
        <v>5000</v>
      </c>
      <c r="I252" s="371">
        <v>5000</v>
      </c>
    </row>
    <row r="253" spans="1:9">
      <c r="A253" s="354">
        <v>3214</v>
      </c>
      <c r="B253" s="355" t="s">
        <v>335</v>
      </c>
      <c r="C253" s="356" t="s">
        <v>350</v>
      </c>
      <c r="D253" s="357">
        <v>10000</v>
      </c>
      <c r="E253" s="357">
        <v>10000</v>
      </c>
      <c r="F253" s="356" t="s">
        <v>235</v>
      </c>
      <c r="G253" s="371">
        <v>0</v>
      </c>
      <c r="H253" s="371">
        <v>0</v>
      </c>
      <c r="I253" s="371">
        <v>0</v>
      </c>
    </row>
    <row r="254" spans="1:9">
      <c r="A254" s="362" t="s">
        <v>24</v>
      </c>
      <c r="B254" s="351" t="s">
        <v>25</v>
      </c>
      <c r="C254" s="363" t="s">
        <v>350</v>
      </c>
      <c r="D254" s="361">
        <f>D255</f>
        <v>4214.6000000000004</v>
      </c>
      <c r="E254" s="361">
        <f>E255</f>
        <v>4214</v>
      </c>
      <c r="F254" s="361"/>
      <c r="G254" s="361">
        <f t="shared" ref="G254:I254" si="73">G255</f>
        <v>0</v>
      </c>
      <c r="H254" s="361">
        <f t="shared" si="73"/>
        <v>0</v>
      </c>
      <c r="I254" s="361">
        <f t="shared" si="73"/>
        <v>0</v>
      </c>
    </row>
    <row r="255" spans="1:9">
      <c r="A255" s="354" t="s">
        <v>28</v>
      </c>
      <c r="B255" s="355" t="s">
        <v>29</v>
      </c>
      <c r="C255" s="370" t="s">
        <v>350</v>
      </c>
      <c r="D255" s="357">
        <v>4214.6000000000004</v>
      </c>
      <c r="E255" s="357">
        <v>4214</v>
      </c>
      <c r="F255" s="356" t="s">
        <v>235</v>
      </c>
      <c r="G255" s="371">
        <v>0</v>
      </c>
      <c r="H255" s="371">
        <v>0</v>
      </c>
      <c r="I255" s="371">
        <v>0</v>
      </c>
    </row>
    <row r="256" spans="1:9">
      <c r="A256" s="362" t="s">
        <v>34</v>
      </c>
      <c r="B256" s="351" t="s">
        <v>35</v>
      </c>
      <c r="C256" s="363" t="s">
        <v>350</v>
      </c>
      <c r="D256" s="361">
        <f>SUM(D257:D264)</f>
        <v>241739.82</v>
      </c>
      <c r="E256" s="361">
        <f>SUM(E257:E264)</f>
        <v>241738</v>
      </c>
      <c r="F256" s="361"/>
      <c r="G256" s="361">
        <f t="shared" ref="G256:I256" si="74">SUM(G257:G264)</f>
        <v>293500</v>
      </c>
      <c r="H256" s="361">
        <f t="shared" si="74"/>
        <v>293500</v>
      </c>
      <c r="I256" s="361">
        <f t="shared" si="74"/>
        <v>293500</v>
      </c>
    </row>
    <row r="257" spans="1:11">
      <c r="A257" s="354" t="s">
        <v>36</v>
      </c>
      <c r="B257" s="355" t="s">
        <v>37</v>
      </c>
      <c r="C257" s="370" t="s">
        <v>350</v>
      </c>
      <c r="D257" s="357">
        <v>26300</v>
      </c>
      <c r="E257" s="357">
        <v>26300</v>
      </c>
      <c r="F257" s="356" t="s">
        <v>235</v>
      </c>
      <c r="G257" s="371">
        <v>30000</v>
      </c>
      <c r="H257" s="371">
        <v>30000</v>
      </c>
      <c r="I257" s="371">
        <v>30000</v>
      </c>
    </row>
    <row r="258" spans="1:11">
      <c r="A258" s="354" t="s">
        <v>38</v>
      </c>
      <c r="B258" s="355" t="s">
        <v>39</v>
      </c>
      <c r="C258" s="370" t="s">
        <v>350</v>
      </c>
      <c r="D258" s="357">
        <v>15348.8</v>
      </c>
      <c r="E258" s="357">
        <v>15348</v>
      </c>
      <c r="F258" s="356" t="s">
        <v>235</v>
      </c>
      <c r="G258" s="371">
        <v>50000</v>
      </c>
      <c r="H258" s="371">
        <v>50000</v>
      </c>
      <c r="I258" s="371">
        <v>50000</v>
      </c>
    </row>
    <row r="259" spans="1:11">
      <c r="A259" s="354" t="s">
        <v>40</v>
      </c>
      <c r="B259" s="355" t="s">
        <v>41</v>
      </c>
      <c r="C259" s="370" t="s">
        <v>350</v>
      </c>
      <c r="D259" s="357">
        <v>1048.21</v>
      </c>
      <c r="E259" s="357">
        <v>1048</v>
      </c>
      <c r="F259" s="356" t="s">
        <v>235</v>
      </c>
      <c r="G259" s="371">
        <v>52500</v>
      </c>
      <c r="H259" s="371">
        <v>52500</v>
      </c>
      <c r="I259" s="371">
        <v>52500</v>
      </c>
    </row>
    <row r="260" spans="1:11">
      <c r="A260" s="354" t="s">
        <v>42</v>
      </c>
      <c r="B260" s="355" t="s">
        <v>43</v>
      </c>
      <c r="C260" s="370" t="s">
        <v>350</v>
      </c>
      <c r="D260" s="357">
        <v>2425</v>
      </c>
      <c r="E260" s="357">
        <v>2425</v>
      </c>
      <c r="F260" s="356" t="s">
        <v>235</v>
      </c>
      <c r="G260" s="371">
        <v>30000</v>
      </c>
      <c r="H260" s="371">
        <v>30000</v>
      </c>
      <c r="I260" s="371">
        <v>30000</v>
      </c>
    </row>
    <row r="261" spans="1:11">
      <c r="A261" s="354" t="s">
        <v>44</v>
      </c>
      <c r="B261" s="355" t="s">
        <v>45</v>
      </c>
      <c r="C261" s="370" t="s">
        <v>350</v>
      </c>
      <c r="D261" s="357">
        <v>66167.81</v>
      </c>
      <c r="E261" s="357">
        <v>66167</v>
      </c>
      <c r="F261" s="356" t="s">
        <v>235</v>
      </c>
      <c r="G261" s="371">
        <v>41000</v>
      </c>
      <c r="H261" s="371">
        <v>41000</v>
      </c>
      <c r="I261" s="371">
        <v>41000</v>
      </c>
    </row>
    <row r="262" spans="1:11">
      <c r="A262" s="354" t="s">
        <v>48</v>
      </c>
      <c r="B262" s="355" t="s">
        <v>49</v>
      </c>
      <c r="C262" s="370" t="s">
        <v>350</v>
      </c>
      <c r="D262" s="357">
        <v>24000</v>
      </c>
      <c r="E262" s="357">
        <v>24000</v>
      </c>
      <c r="F262" s="356" t="s">
        <v>235</v>
      </c>
      <c r="G262" s="371">
        <v>57500</v>
      </c>
      <c r="H262" s="371">
        <v>57500</v>
      </c>
      <c r="I262" s="371">
        <v>57500</v>
      </c>
    </row>
    <row r="263" spans="1:11">
      <c r="A263" s="354" t="s">
        <v>50</v>
      </c>
      <c r="B263" s="355" t="s">
        <v>51</v>
      </c>
      <c r="C263" s="370" t="s">
        <v>350</v>
      </c>
      <c r="D263" s="357">
        <v>30000</v>
      </c>
      <c r="E263" s="357">
        <v>30000</v>
      </c>
      <c r="F263" s="356" t="s">
        <v>235</v>
      </c>
      <c r="G263" s="371">
        <v>13750</v>
      </c>
      <c r="H263" s="371">
        <v>13750</v>
      </c>
      <c r="I263" s="371">
        <v>13750</v>
      </c>
    </row>
    <row r="264" spans="1:11">
      <c r="A264" s="354" t="s">
        <v>52</v>
      </c>
      <c r="B264" s="355" t="s">
        <v>53</v>
      </c>
      <c r="C264" s="370" t="s">
        <v>350</v>
      </c>
      <c r="D264" s="357">
        <v>76450</v>
      </c>
      <c r="E264" s="357">
        <v>76450</v>
      </c>
      <c r="F264" s="356" t="s">
        <v>235</v>
      </c>
      <c r="G264" s="371">
        <v>18750</v>
      </c>
      <c r="H264" s="371">
        <v>18750</v>
      </c>
      <c r="I264" s="371">
        <v>18750</v>
      </c>
      <c r="J264" s="566"/>
      <c r="K264" s="567"/>
    </row>
    <row r="265" spans="1:11">
      <c r="A265" s="362" t="s">
        <v>54</v>
      </c>
      <c r="B265" s="351" t="s">
        <v>55</v>
      </c>
      <c r="C265" s="363" t="s">
        <v>350</v>
      </c>
      <c r="D265" s="361">
        <f>SUM(D266)</f>
        <v>0</v>
      </c>
      <c r="E265" s="361">
        <f>SUM(E266)</f>
        <v>-8403</v>
      </c>
      <c r="F265" s="361"/>
      <c r="G265" s="361">
        <f t="shared" ref="G265:I265" si="75">SUM(G266)</f>
        <v>28750</v>
      </c>
      <c r="H265" s="361">
        <f t="shared" si="75"/>
        <v>28750</v>
      </c>
      <c r="I265" s="361">
        <f t="shared" si="75"/>
        <v>28750</v>
      </c>
      <c r="K265" s="567"/>
    </row>
    <row r="266" spans="1:11">
      <c r="A266" s="354" t="s">
        <v>56</v>
      </c>
      <c r="B266" s="355" t="s">
        <v>55</v>
      </c>
      <c r="C266" s="370" t="s">
        <v>350</v>
      </c>
      <c r="D266" s="357">
        <v>0</v>
      </c>
      <c r="E266" s="358">
        <v>-8403</v>
      </c>
      <c r="F266" s="356" t="s">
        <v>235</v>
      </c>
      <c r="G266" s="371">
        <v>28750</v>
      </c>
      <c r="H266" s="371">
        <v>28750</v>
      </c>
      <c r="I266" s="371">
        <v>28750</v>
      </c>
      <c r="J266" s="566"/>
      <c r="K266" s="567"/>
    </row>
    <row r="267" spans="1:11">
      <c r="A267" s="362" t="s">
        <v>57</v>
      </c>
      <c r="B267" s="351" t="s">
        <v>58</v>
      </c>
      <c r="C267" s="363" t="s">
        <v>350</v>
      </c>
      <c r="D267" s="361">
        <f>SUM(D268:D269)</f>
        <v>12279.65</v>
      </c>
      <c r="E267" s="361">
        <f>SUM(E268:E269)</f>
        <v>20683</v>
      </c>
      <c r="F267" s="361"/>
      <c r="G267" s="361">
        <f t="shared" ref="G267:I267" si="76">SUM(G268:G269)</f>
        <v>76000</v>
      </c>
      <c r="H267" s="361">
        <f t="shared" si="76"/>
        <v>76000</v>
      </c>
      <c r="I267" s="361">
        <f t="shared" si="76"/>
        <v>76000</v>
      </c>
    </row>
    <row r="268" spans="1:11">
      <c r="A268" s="354" t="s">
        <v>63</v>
      </c>
      <c r="B268" s="355" t="s">
        <v>64</v>
      </c>
      <c r="C268" s="370" t="s">
        <v>350</v>
      </c>
      <c r="D268" s="357">
        <f>22150.87-8403.98-1467.24</f>
        <v>12279.65</v>
      </c>
      <c r="E268" s="358">
        <v>22150</v>
      </c>
      <c r="F268" s="356" t="s">
        <v>235</v>
      </c>
      <c r="G268" s="371">
        <v>76000</v>
      </c>
      <c r="H268" s="371">
        <v>76000</v>
      </c>
      <c r="I268" s="371">
        <v>76000</v>
      </c>
    </row>
    <row r="269" spans="1:11">
      <c r="A269" s="354" t="s">
        <v>69</v>
      </c>
      <c r="B269" s="355" t="s">
        <v>58</v>
      </c>
      <c r="C269" s="370" t="s">
        <v>350</v>
      </c>
      <c r="D269" s="357">
        <v>0</v>
      </c>
      <c r="E269" s="358">
        <v>-1467</v>
      </c>
      <c r="F269" s="356" t="s">
        <v>235</v>
      </c>
      <c r="G269" s="371">
        <v>0</v>
      </c>
      <c r="H269" s="371">
        <v>0</v>
      </c>
      <c r="I269" s="371">
        <v>0</v>
      </c>
    </row>
    <row r="270" spans="1:11">
      <c r="A270" s="362" t="s">
        <v>88</v>
      </c>
      <c r="B270" s="351" t="s">
        <v>89</v>
      </c>
      <c r="C270" s="363" t="s">
        <v>350</v>
      </c>
      <c r="D270" s="361">
        <f>SUM(D271:D272)</f>
        <v>23437.5</v>
      </c>
      <c r="E270" s="361">
        <f>SUM(E271:E272)</f>
        <v>23437</v>
      </c>
      <c r="F270" s="361"/>
      <c r="G270" s="361">
        <f t="shared" ref="G270:I270" si="77">SUM(G271:G272)</f>
        <v>22700</v>
      </c>
      <c r="H270" s="361">
        <f t="shared" si="77"/>
        <v>22700</v>
      </c>
      <c r="I270" s="361">
        <f t="shared" si="77"/>
        <v>22700</v>
      </c>
    </row>
    <row r="271" spans="1:11">
      <c r="A271" s="354" t="s">
        <v>90</v>
      </c>
      <c r="B271" s="355" t="s">
        <v>91</v>
      </c>
      <c r="C271" s="370" t="s">
        <v>350</v>
      </c>
      <c r="D271" s="357">
        <v>18437.5</v>
      </c>
      <c r="E271" s="357">
        <v>18437</v>
      </c>
      <c r="F271" s="356" t="s">
        <v>235</v>
      </c>
      <c r="G271" s="371">
        <v>12700</v>
      </c>
      <c r="H271" s="371">
        <v>12700</v>
      </c>
      <c r="I271" s="371">
        <v>12700</v>
      </c>
    </row>
    <row r="272" spans="1:11">
      <c r="A272" s="354" t="s">
        <v>92</v>
      </c>
      <c r="B272" s="355" t="s">
        <v>93</v>
      </c>
      <c r="C272" s="370" t="s">
        <v>350</v>
      </c>
      <c r="D272" s="357">
        <v>5000</v>
      </c>
      <c r="E272" s="357">
        <v>5000</v>
      </c>
      <c r="F272" s="356">
        <v>51</v>
      </c>
      <c r="G272" s="371">
        <v>10000</v>
      </c>
      <c r="H272" s="371">
        <v>10000</v>
      </c>
      <c r="I272" s="371">
        <v>10000</v>
      </c>
    </row>
    <row r="273" spans="1:9">
      <c r="A273" s="346" t="s">
        <v>390</v>
      </c>
      <c r="B273" s="347" t="s">
        <v>367</v>
      </c>
      <c r="C273" s="348" t="s">
        <v>232</v>
      </c>
      <c r="D273" s="349">
        <f>D274+D278+D281+D286+D289+D296+D298+D302+D276</f>
        <v>0</v>
      </c>
      <c r="E273" s="349">
        <f>E274+E278+E281+E286+E289+E296+E298+E302+E276</f>
        <v>6987059</v>
      </c>
      <c r="F273" s="349"/>
      <c r="G273" s="349">
        <f>G274+G278+G281+G286+G289+G296+G298+G302+G276</f>
        <v>7382133</v>
      </c>
      <c r="H273" s="349">
        <f>H274+H278+H281+H286+H289+H296+H298+H302+H276</f>
        <v>14184273</v>
      </c>
      <c r="I273" s="349">
        <f>I274+I278+I281+I286+I289+I296+I298+I302+I276</f>
        <v>14895054</v>
      </c>
    </row>
    <row r="274" spans="1:9">
      <c r="A274" s="350" t="s">
        <v>1</v>
      </c>
      <c r="B274" s="351" t="s">
        <v>2</v>
      </c>
      <c r="C274" s="364" t="s">
        <v>232</v>
      </c>
      <c r="D274" s="353">
        <f>SUM(D275:D275)</f>
        <v>0</v>
      </c>
      <c r="E274" s="353">
        <f>SUM(E275:E275)</f>
        <v>800368</v>
      </c>
      <c r="F274" s="353"/>
      <c r="G274" s="353">
        <f>SUM(G275:G275)</f>
        <v>1883219</v>
      </c>
      <c r="H274" s="353">
        <f>SUM(H275:H275)</f>
        <v>2448185</v>
      </c>
      <c r="I274" s="353">
        <f>SUM(I275:I275)</f>
        <v>3182640</v>
      </c>
    </row>
    <row r="275" spans="1:9">
      <c r="A275" s="354" t="s">
        <v>3</v>
      </c>
      <c r="B275" s="355" t="s">
        <v>4</v>
      </c>
      <c r="C275" s="364" t="s">
        <v>232</v>
      </c>
      <c r="D275" s="365">
        <f>800368-800368</f>
        <v>0</v>
      </c>
      <c r="E275" s="365">
        <v>800368</v>
      </c>
      <c r="F275" s="364" t="s">
        <v>234</v>
      </c>
      <c r="G275" s="365">
        <v>1883219</v>
      </c>
      <c r="H275" s="365">
        <v>2448185</v>
      </c>
      <c r="I275" s="365">
        <v>3182640</v>
      </c>
    </row>
    <row r="276" spans="1:9">
      <c r="A276" s="350" t="s">
        <v>7</v>
      </c>
      <c r="B276" s="351" t="s">
        <v>8</v>
      </c>
      <c r="C276" s="364" t="s">
        <v>232</v>
      </c>
      <c r="D276" s="353">
        <f>SUM(D277:D277)</f>
        <v>0</v>
      </c>
      <c r="E276" s="353">
        <f>SUM(E277:E277)</f>
        <v>0</v>
      </c>
      <c r="F276" s="353"/>
      <c r="G276" s="353">
        <f>SUM(G277:G277)</f>
        <v>350000</v>
      </c>
      <c r="H276" s="353">
        <f>SUM(H277:H277)</f>
        <v>350000</v>
      </c>
      <c r="I276" s="353">
        <f>SUM(I277:I277)</f>
        <v>350000</v>
      </c>
    </row>
    <row r="277" spans="1:9">
      <c r="A277" s="354" t="s">
        <v>9</v>
      </c>
      <c r="B277" s="355" t="s">
        <v>8</v>
      </c>
      <c r="C277" s="364" t="s">
        <v>232</v>
      </c>
      <c r="D277" s="365">
        <v>0</v>
      </c>
      <c r="E277" s="365">
        <v>0</v>
      </c>
      <c r="F277" s="364" t="s">
        <v>234</v>
      </c>
      <c r="G277" s="365">
        <v>350000</v>
      </c>
      <c r="H277" s="365">
        <v>350000</v>
      </c>
      <c r="I277" s="365">
        <v>350000</v>
      </c>
    </row>
    <row r="278" spans="1:9">
      <c r="A278" s="350" t="s">
        <v>10</v>
      </c>
      <c r="B278" s="351" t="s">
        <v>11</v>
      </c>
      <c r="C278" s="364" t="s">
        <v>232</v>
      </c>
      <c r="D278" s="353">
        <f>SUM(D279:D280)</f>
        <v>0</v>
      </c>
      <c r="E278" s="353">
        <f>SUM(E279:E280)</f>
        <v>137663</v>
      </c>
      <c r="F278" s="353"/>
      <c r="G278" s="353">
        <f>SUM(G279:G280)</f>
        <v>323914</v>
      </c>
      <c r="H278" s="353">
        <f>SUM(H279:H280)</f>
        <v>421088</v>
      </c>
      <c r="I278" s="353">
        <f>SUM(I279:I280)</f>
        <v>547414</v>
      </c>
    </row>
    <row r="279" spans="1:9">
      <c r="A279" s="354" t="s">
        <v>12</v>
      </c>
      <c r="B279" s="355" t="s">
        <v>13</v>
      </c>
      <c r="C279" s="364" t="s">
        <v>232</v>
      </c>
      <c r="D279" s="365">
        <f>124057-124057</f>
        <v>0</v>
      </c>
      <c r="E279" s="365">
        <v>124057</v>
      </c>
      <c r="F279" s="364" t="s">
        <v>234</v>
      </c>
      <c r="G279" s="365">
        <v>291899</v>
      </c>
      <c r="H279" s="365">
        <v>379469</v>
      </c>
      <c r="I279" s="365">
        <v>493309</v>
      </c>
    </row>
    <row r="280" spans="1:9">
      <c r="A280" s="354" t="s">
        <v>14</v>
      </c>
      <c r="B280" s="355" t="s">
        <v>15</v>
      </c>
      <c r="C280" s="364" t="s">
        <v>232</v>
      </c>
      <c r="D280" s="365">
        <f>13606-13606</f>
        <v>0</v>
      </c>
      <c r="E280" s="365">
        <v>13606</v>
      </c>
      <c r="F280" s="364" t="s">
        <v>234</v>
      </c>
      <c r="G280" s="365">
        <v>32015</v>
      </c>
      <c r="H280" s="365">
        <v>41619</v>
      </c>
      <c r="I280" s="365">
        <v>54105</v>
      </c>
    </row>
    <row r="281" spans="1:9">
      <c r="A281" s="350" t="s">
        <v>16</v>
      </c>
      <c r="B281" s="351" t="s">
        <v>17</v>
      </c>
      <c r="C281" s="364" t="s">
        <v>232</v>
      </c>
      <c r="D281" s="353">
        <f>SUM(D282:D285)</f>
        <v>0</v>
      </c>
      <c r="E281" s="353">
        <f>SUM(E282:E285)</f>
        <v>186278</v>
      </c>
      <c r="F281" s="353"/>
      <c r="G281" s="353">
        <f>SUM(G282:G285)</f>
        <v>215000</v>
      </c>
      <c r="H281" s="353">
        <f>SUM(H282:H285)</f>
        <v>485000</v>
      </c>
      <c r="I281" s="353">
        <f>SUM(I282:I285)</f>
        <v>485000</v>
      </c>
    </row>
    <row r="282" spans="1:9">
      <c r="A282" s="354" t="s">
        <v>18</v>
      </c>
      <c r="B282" s="355" t="s">
        <v>19</v>
      </c>
      <c r="C282" s="364" t="s">
        <v>232</v>
      </c>
      <c r="D282" s="365">
        <f>102000-102000</f>
        <v>0</v>
      </c>
      <c r="E282" s="365">
        <v>102000</v>
      </c>
      <c r="F282" s="364" t="s">
        <v>234</v>
      </c>
      <c r="G282" s="365">
        <v>120000</v>
      </c>
      <c r="H282" s="365">
        <v>220000</v>
      </c>
      <c r="I282" s="365">
        <v>220000</v>
      </c>
    </row>
    <row r="283" spans="1:9">
      <c r="A283" s="354" t="s">
        <v>20</v>
      </c>
      <c r="B283" s="355" t="s">
        <v>21</v>
      </c>
      <c r="C283" s="364" t="s">
        <v>232</v>
      </c>
      <c r="D283" s="365">
        <f>10328-10328</f>
        <v>0</v>
      </c>
      <c r="E283" s="365">
        <v>10328</v>
      </c>
      <c r="F283" s="364" t="s">
        <v>234</v>
      </c>
      <c r="G283" s="365">
        <v>45000</v>
      </c>
      <c r="H283" s="365">
        <v>45000</v>
      </c>
      <c r="I283" s="365">
        <v>45000</v>
      </c>
    </row>
    <row r="284" spans="1:9">
      <c r="A284" s="354" t="s">
        <v>22</v>
      </c>
      <c r="B284" s="355" t="s">
        <v>23</v>
      </c>
      <c r="C284" s="364" t="s">
        <v>232</v>
      </c>
      <c r="D284" s="365">
        <f>63750-63750</f>
        <v>0</v>
      </c>
      <c r="E284" s="365">
        <v>63750</v>
      </c>
      <c r="F284" s="364" t="s">
        <v>234</v>
      </c>
      <c r="G284" s="365">
        <v>50000</v>
      </c>
      <c r="H284" s="365">
        <v>200000</v>
      </c>
      <c r="I284" s="365">
        <v>200000</v>
      </c>
    </row>
    <row r="285" spans="1:9">
      <c r="A285" s="366" t="s">
        <v>161</v>
      </c>
      <c r="B285" s="367" t="s">
        <v>335</v>
      </c>
      <c r="C285" s="364" t="s">
        <v>232</v>
      </c>
      <c r="D285" s="365">
        <f>10200-10200</f>
        <v>0</v>
      </c>
      <c r="E285" s="365">
        <v>10200</v>
      </c>
      <c r="F285" s="364" t="s">
        <v>234</v>
      </c>
      <c r="G285" s="365">
        <v>0</v>
      </c>
      <c r="H285" s="365">
        <v>20000</v>
      </c>
      <c r="I285" s="365">
        <v>20000</v>
      </c>
    </row>
    <row r="286" spans="1:9">
      <c r="A286" s="350" t="s">
        <v>24</v>
      </c>
      <c r="B286" s="351" t="s">
        <v>25</v>
      </c>
      <c r="C286" s="364" t="s">
        <v>232</v>
      </c>
      <c r="D286" s="353">
        <f>SUM(D287:D288)</f>
        <v>0</v>
      </c>
      <c r="E286" s="353">
        <f>SUM(E287:E288)</f>
        <v>68000</v>
      </c>
      <c r="F286" s="353"/>
      <c r="G286" s="353">
        <f>SUM(G287:G288)</f>
        <v>130000</v>
      </c>
      <c r="H286" s="353">
        <f>SUM(H287:H288)</f>
        <v>260000</v>
      </c>
      <c r="I286" s="353">
        <f>SUM(I287:I288)</f>
        <v>260000</v>
      </c>
    </row>
    <row r="287" spans="1:9">
      <c r="A287" s="354" t="s">
        <v>26</v>
      </c>
      <c r="B287" s="355" t="s">
        <v>27</v>
      </c>
      <c r="C287" s="364" t="s">
        <v>232</v>
      </c>
      <c r="D287" s="365">
        <f>31875-31875</f>
        <v>0</v>
      </c>
      <c r="E287" s="365">
        <v>31875</v>
      </c>
      <c r="F287" s="364" t="s">
        <v>234</v>
      </c>
      <c r="G287" s="365">
        <v>70000</v>
      </c>
      <c r="H287" s="365">
        <v>100000</v>
      </c>
      <c r="I287" s="365">
        <v>100000</v>
      </c>
    </row>
    <row r="288" spans="1:9">
      <c r="A288" s="354" t="s">
        <v>28</v>
      </c>
      <c r="B288" s="360" t="s">
        <v>29</v>
      </c>
      <c r="C288" s="364" t="s">
        <v>232</v>
      </c>
      <c r="D288" s="365">
        <f>36125-36125</f>
        <v>0</v>
      </c>
      <c r="E288" s="365">
        <v>36125</v>
      </c>
      <c r="F288" s="364" t="s">
        <v>234</v>
      </c>
      <c r="G288" s="365">
        <v>60000</v>
      </c>
      <c r="H288" s="365">
        <v>160000</v>
      </c>
      <c r="I288" s="365">
        <v>160000</v>
      </c>
    </row>
    <row r="289" spans="1:11">
      <c r="A289" s="350" t="s">
        <v>34</v>
      </c>
      <c r="B289" s="351" t="s">
        <v>35</v>
      </c>
      <c r="C289" s="364" t="s">
        <v>232</v>
      </c>
      <c r="D289" s="353">
        <f>SUM(D290:D295)</f>
        <v>0</v>
      </c>
      <c r="E289" s="353">
        <f>SUM(E290:E295)</f>
        <v>5085000</v>
      </c>
      <c r="F289" s="353"/>
      <c r="G289" s="353">
        <f>SUM(G290:G295)</f>
        <v>4200000</v>
      </c>
      <c r="H289" s="353">
        <f>SUM(H290:H295)</f>
        <v>9300000</v>
      </c>
      <c r="I289" s="353">
        <f>SUM(I290:I295)</f>
        <v>9300000</v>
      </c>
    </row>
    <row r="290" spans="1:11">
      <c r="A290" s="354" t="s">
        <v>36</v>
      </c>
      <c r="B290" s="355" t="s">
        <v>37</v>
      </c>
      <c r="C290" s="364" t="s">
        <v>232</v>
      </c>
      <c r="D290" s="365">
        <f>23375-23375</f>
        <v>0</v>
      </c>
      <c r="E290" s="365">
        <v>23375</v>
      </c>
      <c r="F290" s="364" t="s">
        <v>234</v>
      </c>
      <c r="G290" s="365">
        <v>50000</v>
      </c>
      <c r="H290" s="365">
        <v>50000</v>
      </c>
      <c r="I290" s="365">
        <v>50000</v>
      </c>
    </row>
    <row r="291" spans="1:11">
      <c r="A291" s="354" t="s">
        <v>40</v>
      </c>
      <c r="B291" s="355" t="s">
        <v>41</v>
      </c>
      <c r="C291" s="364" t="s">
        <v>232</v>
      </c>
      <c r="D291" s="365">
        <f>680000-680000</f>
        <v>0</v>
      </c>
      <c r="E291" s="365">
        <v>680000</v>
      </c>
      <c r="F291" s="364" t="s">
        <v>234</v>
      </c>
      <c r="G291" s="365">
        <v>500000</v>
      </c>
      <c r="H291" s="365">
        <v>2000000</v>
      </c>
      <c r="I291" s="365">
        <v>2000000</v>
      </c>
    </row>
    <row r="292" spans="1:11">
      <c r="A292" s="354" t="s">
        <v>42</v>
      </c>
      <c r="B292" s="355" t="s">
        <v>43</v>
      </c>
      <c r="C292" s="364" t="s">
        <v>232</v>
      </c>
      <c r="D292" s="365">
        <f>10625-10625</f>
        <v>0</v>
      </c>
      <c r="E292" s="365">
        <v>10625</v>
      </c>
      <c r="F292" s="364" t="s">
        <v>234</v>
      </c>
      <c r="G292" s="365">
        <v>50000</v>
      </c>
      <c r="H292" s="365">
        <v>50000</v>
      </c>
      <c r="I292" s="365">
        <v>50000</v>
      </c>
    </row>
    <row r="293" spans="1:11">
      <c r="A293" s="354" t="s">
        <v>48</v>
      </c>
      <c r="B293" s="355" t="s">
        <v>49</v>
      </c>
      <c r="C293" s="364" t="s">
        <v>232</v>
      </c>
      <c r="D293" s="365">
        <f>3400000-3400000</f>
        <v>0</v>
      </c>
      <c r="E293" s="365">
        <v>3400000</v>
      </c>
      <c r="F293" s="364" t="s">
        <v>234</v>
      </c>
      <c r="G293" s="365">
        <v>3000000</v>
      </c>
      <c r="H293" s="365">
        <v>5000000</v>
      </c>
      <c r="I293" s="365">
        <v>5000000</v>
      </c>
    </row>
    <row r="294" spans="1:11">
      <c r="A294" s="354" t="s">
        <v>50</v>
      </c>
      <c r="B294" s="355" t="s">
        <v>51</v>
      </c>
      <c r="C294" s="364" t="s">
        <v>232</v>
      </c>
      <c r="D294" s="365">
        <f>544000-544000</f>
        <v>0</v>
      </c>
      <c r="E294" s="365">
        <v>544000</v>
      </c>
      <c r="F294" s="364" t="s">
        <v>234</v>
      </c>
      <c r="G294" s="365">
        <v>500000</v>
      </c>
      <c r="H294" s="365">
        <v>200000</v>
      </c>
      <c r="I294" s="365">
        <v>200000</v>
      </c>
      <c r="J294" s="509"/>
      <c r="K294" s="509"/>
    </row>
    <row r="295" spans="1:11">
      <c r="A295" s="354" t="s">
        <v>52</v>
      </c>
      <c r="B295" s="355" t="s">
        <v>53</v>
      </c>
      <c r="C295" s="364" t="s">
        <v>232</v>
      </c>
      <c r="D295" s="365">
        <f>427000-427000</f>
        <v>0</v>
      </c>
      <c r="E295" s="365">
        <v>427000</v>
      </c>
      <c r="F295" s="364" t="s">
        <v>234</v>
      </c>
      <c r="G295" s="365">
        <v>100000</v>
      </c>
      <c r="H295" s="365">
        <v>2000000</v>
      </c>
      <c r="I295" s="365">
        <v>2000000</v>
      </c>
      <c r="J295" s="292"/>
      <c r="K295" s="292"/>
    </row>
    <row r="296" spans="1:11">
      <c r="A296" s="362" t="s">
        <v>54</v>
      </c>
      <c r="B296" s="351" t="s">
        <v>55</v>
      </c>
      <c r="C296" s="364" t="s">
        <v>232</v>
      </c>
      <c r="D296" s="353">
        <f>SUM(D297:D297)</f>
        <v>0</v>
      </c>
      <c r="E296" s="353">
        <f>SUM(E297:E297)</f>
        <v>425000</v>
      </c>
      <c r="F296" s="353"/>
      <c r="G296" s="353">
        <f>SUM(G297:G297)</f>
        <v>100000</v>
      </c>
      <c r="H296" s="353">
        <f>SUM(H297:H297)</f>
        <v>200000</v>
      </c>
      <c r="I296" s="353">
        <f>SUM(I297:I297)</f>
        <v>200000</v>
      </c>
      <c r="J296" s="26"/>
    </row>
    <row r="297" spans="1:11">
      <c r="A297" s="369">
        <v>3241</v>
      </c>
      <c r="B297" s="367" t="s">
        <v>55</v>
      </c>
      <c r="C297" s="364" t="s">
        <v>232</v>
      </c>
      <c r="D297" s="365">
        <f>425000-425000</f>
        <v>0</v>
      </c>
      <c r="E297" s="365">
        <v>425000</v>
      </c>
      <c r="F297" s="364" t="s">
        <v>234</v>
      </c>
      <c r="G297" s="365">
        <v>100000</v>
      </c>
      <c r="H297" s="365">
        <v>200000</v>
      </c>
      <c r="I297" s="365">
        <v>200000</v>
      </c>
      <c r="J297" s="509"/>
      <c r="K297" s="509"/>
    </row>
    <row r="298" spans="1:11">
      <c r="A298" s="369" t="s">
        <v>57</v>
      </c>
      <c r="B298" s="367" t="s">
        <v>58</v>
      </c>
      <c r="C298" s="364" t="s">
        <v>232</v>
      </c>
      <c r="D298" s="353">
        <f>SUM(D299:D301)</f>
        <v>0</v>
      </c>
      <c r="E298" s="353">
        <f>SUM(E299:E301)</f>
        <v>114750</v>
      </c>
      <c r="F298" s="353"/>
      <c r="G298" s="353">
        <f>SUM(G299:G301)</f>
        <v>80000</v>
      </c>
      <c r="H298" s="353">
        <f>SUM(H299:H301)</f>
        <v>520000</v>
      </c>
      <c r="I298" s="353">
        <f>SUM(I299:I301)</f>
        <v>520000</v>
      </c>
      <c r="J298" s="292"/>
      <c r="K298" s="292"/>
    </row>
    <row r="299" spans="1:11">
      <c r="A299" s="369" t="s">
        <v>63</v>
      </c>
      <c r="B299" s="367" t="s">
        <v>64</v>
      </c>
      <c r="C299" s="364" t="s">
        <v>232</v>
      </c>
      <c r="D299" s="365">
        <f>85000-85000</f>
        <v>0</v>
      </c>
      <c r="E299" s="365">
        <v>85000</v>
      </c>
      <c r="F299" s="364" t="s">
        <v>234</v>
      </c>
      <c r="G299" s="365">
        <v>60000</v>
      </c>
      <c r="H299" s="365">
        <v>400000</v>
      </c>
      <c r="I299" s="365">
        <v>400000</v>
      </c>
      <c r="J299" s="509"/>
      <c r="K299" s="509"/>
    </row>
    <row r="300" spans="1:11">
      <c r="A300" s="354">
        <v>3295</v>
      </c>
      <c r="B300" s="355" t="s">
        <v>68</v>
      </c>
      <c r="C300" s="364" t="s">
        <v>232</v>
      </c>
      <c r="D300" s="365">
        <f>12750-12750</f>
        <v>0</v>
      </c>
      <c r="E300" s="365">
        <v>12750</v>
      </c>
      <c r="F300" s="364" t="s">
        <v>234</v>
      </c>
      <c r="G300" s="365">
        <v>0</v>
      </c>
      <c r="H300" s="365">
        <v>100000</v>
      </c>
      <c r="I300" s="365">
        <v>100000</v>
      </c>
      <c r="J300" s="292"/>
      <c r="K300" s="292"/>
    </row>
    <row r="301" spans="1:11">
      <c r="A301" s="354">
        <v>3299</v>
      </c>
      <c r="B301" s="355" t="s">
        <v>58</v>
      </c>
      <c r="C301" s="364" t="s">
        <v>232</v>
      </c>
      <c r="D301" s="365">
        <f>17000-17000</f>
        <v>0</v>
      </c>
      <c r="E301" s="365">
        <v>17000</v>
      </c>
      <c r="F301" s="364" t="s">
        <v>234</v>
      </c>
      <c r="G301" s="365">
        <v>20000</v>
      </c>
      <c r="H301" s="365">
        <v>20000</v>
      </c>
      <c r="I301" s="365">
        <v>20000</v>
      </c>
    </row>
    <row r="302" spans="1:11">
      <c r="A302" s="350" t="s">
        <v>88</v>
      </c>
      <c r="B302" s="351" t="s">
        <v>89</v>
      </c>
      <c r="C302" s="364" t="s">
        <v>232</v>
      </c>
      <c r="D302" s="353">
        <f>SUM(D303:D303)</f>
        <v>0</v>
      </c>
      <c r="E302" s="353">
        <f>SUM(E303:E303)</f>
        <v>170000</v>
      </c>
      <c r="F302" s="353"/>
      <c r="G302" s="353">
        <f>SUM(G303:G303)</f>
        <v>100000</v>
      </c>
      <c r="H302" s="353">
        <f>SUM(H303:H303)</f>
        <v>200000</v>
      </c>
      <c r="I302" s="353">
        <f>SUM(I303:I303)</f>
        <v>50000</v>
      </c>
      <c r="J302" s="293"/>
      <c r="K302" s="293"/>
    </row>
    <row r="303" spans="1:11">
      <c r="A303" s="354" t="s">
        <v>90</v>
      </c>
      <c r="B303" s="355" t="s">
        <v>91</v>
      </c>
      <c r="C303" s="364" t="s">
        <v>232</v>
      </c>
      <c r="D303" s="365">
        <f>170000-170000</f>
        <v>0</v>
      </c>
      <c r="E303" s="365">
        <v>170000</v>
      </c>
      <c r="F303" s="364" t="s">
        <v>234</v>
      </c>
      <c r="G303" s="365">
        <v>100000</v>
      </c>
      <c r="H303" s="365">
        <v>200000</v>
      </c>
      <c r="I303" s="365">
        <v>50000</v>
      </c>
    </row>
    <row r="304" spans="1:11">
      <c r="A304" s="377" t="s">
        <v>391</v>
      </c>
      <c r="B304" s="377" t="s">
        <v>356</v>
      </c>
      <c r="C304" s="348" t="s">
        <v>232</v>
      </c>
      <c r="D304" s="349">
        <f>D305+D308+D313+D316+D319+D326+D332+D329</f>
        <v>1243640.3199999998</v>
      </c>
      <c r="E304" s="349">
        <f>E305+E308+E313+E316+E319+E326+E332+E329</f>
        <v>1282564</v>
      </c>
      <c r="F304" s="349"/>
      <c r="G304" s="349">
        <f>G305+G308+G313+G316+G319+G326+G332+G329</f>
        <v>1908040</v>
      </c>
      <c r="H304" s="349">
        <f>H305+H308+H313+H316+H319+H326+H332+H329</f>
        <v>2067903</v>
      </c>
      <c r="I304" s="349">
        <f>I305+I308+I313+I316+I319+I326+I332+I329</f>
        <v>1848614</v>
      </c>
    </row>
    <row r="305" spans="1:11">
      <c r="A305" s="350" t="s">
        <v>1</v>
      </c>
      <c r="B305" s="351" t="s">
        <v>2</v>
      </c>
      <c r="C305" s="370" t="s">
        <v>232</v>
      </c>
      <c r="D305" s="378">
        <f>SUM(D306:D307)</f>
        <v>648576</v>
      </c>
      <c r="E305" s="378">
        <f>SUM(E306:E307)</f>
        <v>648576</v>
      </c>
      <c r="F305" s="378"/>
      <c r="G305" s="361">
        <f t="shared" ref="G305:I305" si="78">SUM(G306:G307)</f>
        <v>676724</v>
      </c>
      <c r="H305" s="361">
        <f t="shared" si="78"/>
        <v>678053</v>
      </c>
      <c r="I305" s="361">
        <f t="shared" si="78"/>
        <v>504796</v>
      </c>
    </row>
    <row r="306" spans="1:11">
      <c r="A306" s="354" t="s">
        <v>3</v>
      </c>
      <c r="B306" s="355" t="s">
        <v>4</v>
      </c>
      <c r="C306" s="370" t="s">
        <v>232</v>
      </c>
      <c r="D306" s="371">
        <v>0</v>
      </c>
      <c r="E306" s="371">
        <v>0</v>
      </c>
      <c r="F306" s="356">
        <v>559</v>
      </c>
      <c r="G306" s="371">
        <v>629057</v>
      </c>
      <c r="H306" s="371">
        <v>630006</v>
      </c>
      <c r="I306" s="371">
        <v>480405</v>
      </c>
    </row>
    <row r="307" spans="1:11">
      <c r="A307" s="354" t="s">
        <v>3</v>
      </c>
      <c r="B307" s="355" t="s">
        <v>4</v>
      </c>
      <c r="C307" s="370" t="s">
        <v>232</v>
      </c>
      <c r="D307" s="371">
        <v>648576</v>
      </c>
      <c r="E307" s="371">
        <v>648576</v>
      </c>
      <c r="F307" s="370">
        <v>51</v>
      </c>
      <c r="G307" s="371">
        <v>47667</v>
      </c>
      <c r="H307" s="371">
        <v>48047</v>
      </c>
      <c r="I307" s="371">
        <v>24391</v>
      </c>
    </row>
    <row r="308" spans="1:11">
      <c r="A308" s="350" t="s">
        <v>10</v>
      </c>
      <c r="B308" s="351" t="s">
        <v>11</v>
      </c>
      <c r="C308" s="370" t="s">
        <v>232</v>
      </c>
      <c r="D308" s="378">
        <f>SUM(D309:D312)</f>
        <v>111424</v>
      </c>
      <c r="E308" s="378">
        <f>SUM(E309:E312)</f>
        <v>111424</v>
      </c>
      <c r="F308" s="363"/>
      <c r="G308" s="361">
        <f t="shared" ref="G308:I308" si="79">SUM(G309:G312)</f>
        <v>140575</v>
      </c>
      <c r="H308" s="361">
        <f t="shared" si="79"/>
        <v>140850</v>
      </c>
      <c r="I308" s="361">
        <f t="shared" si="79"/>
        <v>104859</v>
      </c>
    </row>
    <row r="309" spans="1:11">
      <c r="A309" s="354" t="s">
        <v>12</v>
      </c>
      <c r="B309" s="355" t="s">
        <v>13</v>
      </c>
      <c r="C309" s="370" t="s">
        <v>232</v>
      </c>
      <c r="D309" s="371">
        <v>0</v>
      </c>
      <c r="E309" s="371">
        <v>0</v>
      </c>
      <c r="F309" s="356" t="s">
        <v>315</v>
      </c>
      <c r="G309" s="371">
        <v>117758</v>
      </c>
      <c r="H309" s="371">
        <v>117935</v>
      </c>
      <c r="I309" s="371">
        <v>89930</v>
      </c>
    </row>
    <row r="310" spans="1:11">
      <c r="A310" s="354" t="s">
        <v>12</v>
      </c>
      <c r="B310" s="355" t="s">
        <v>13</v>
      </c>
      <c r="C310" s="370" t="s">
        <v>232</v>
      </c>
      <c r="D310" s="371">
        <f>101200</f>
        <v>101200</v>
      </c>
      <c r="E310" s="371">
        <v>101200</v>
      </c>
      <c r="F310" s="370">
        <v>51</v>
      </c>
      <c r="G310" s="371">
        <v>8923</v>
      </c>
      <c r="H310" s="371">
        <v>8994</v>
      </c>
      <c r="I310" s="371">
        <v>4565</v>
      </c>
    </row>
    <row r="311" spans="1:11">
      <c r="A311" s="354" t="s">
        <v>14</v>
      </c>
      <c r="B311" s="355" t="s">
        <v>15</v>
      </c>
      <c r="C311" s="370" t="s">
        <v>232</v>
      </c>
      <c r="D311" s="371">
        <v>0</v>
      </c>
      <c r="E311" s="371">
        <v>0</v>
      </c>
      <c r="F311" s="356" t="s">
        <v>315</v>
      </c>
      <c r="G311" s="371">
        <v>12915</v>
      </c>
      <c r="H311" s="371">
        <v>12935</v>
      </c>
      <c r="I311" s="371">
        <v>9863</v>
      </c>
      <c r="K311" s="293"/>
    </row>
    <row r="312" spans="1:11">
      <c r="A312" s="354" t="s">
        <v>14</v>
      </c>
      <c r="B312" s="355" t="s">
        <v>15</v>
      </c>
      <c r="C312" s="370" t="s">
        <v>232</v>
      </c>
      <c r="D312" s="371">
        <v>10224</v>
      </c>
      <c r="E312" s="371">
        <v>10224</v>
      </c>
      <c r="F312" s="370">
        <v>51</v>
      </c>
      <c r="G312" s="371">
        <v>979</v>
      </c>
      <c r="H312" s="371">
        <v>986</v>
      </c>
      <c r="I312" s="371">
        <v>501</v>
      </c>
    </row>
    <row r="313" spans="1:11">
      <c r="A313" s="350" t="s">
        <v>16</v>
      </c>
      <c r="B313" s="351" t="s">
        <v>17</v>
      </c>
      <c r="C313" s="370" t="s">
        <v>232</v>
      </c>
      <c r="D313" s="361">
        <f>SUM(D314:D315)</f>
        <v>40332.6</v>
      </c>
      <c r="E313" s="361">
        <f>SUM(E314:E315)</f>
        <v>40332</v>
      </c>
      <c r="F313" s="363"/>
      <c r="G313" s="361">
        <f t="shared" ref="G313:I313" si="80">SUM(G314:G315)</f>
        <v>54001</v>
      </c>
      <c r="H313" s="361">
        <f t="shared" si="80"/>
        <v>53250</v>
      </c>
      <c r="I313" s="361">
        <f t="shared" si="80"/>
        <v>44250</v>
      </c>
    </row>
    <row r="314" spans="1:11">
      <c r="A314" s="354" t="s">
        <v>18</v>
      </c>
      <c r="B314" s="355" t="s">
        <v>19</v>
      </c>
      <c r="C314" s="370" t="s">
        <v>232</v>
      </c>
      <c r="D314" s="371">
        <v>0</v>
      </c>
      <c r="E314" s="371">
        <v>0</v>
      </c>
      <c r="F314" s="356" t="s">
        <v>315</v>
      </c>
      <c r="G314" s="371">
        <v>48938</v>
      </c>
      <c r="H314" s="371">
        <v>48300</v>
      </c>
      <c r="I314" s="371">
        <v>40650</v>
      </c>
    </row>
    <row r="315" spans="1:11">
      <c r="A315" s="354" t="s">
        <v>18</v>
      </c>
      <c r="B315" s="355" t="s">
        <v>19</v>
      </c>
      <c r="C315" s="370" t="s">
        <v>232</v>
      </c>
      <c r="D315" s="371">
        <v>40332.6</v>
      </c>
      <c r="E315" s="371">
        <v>40332</v>
      </c>
      <c r="F315" s="370">
        <v>51</v>
      </c>
      <c r="G315" s="371">
        <v>5063</v>
      </c>
      <c r="H315" s="371">
        <v>4950</v>
      </c>
      <c r="I315" s="371">
        <v>3600</v>
      </c>
    </row>
    <row r="316" spans="1:11">
      <c r="A316" s="362" t="s">
        <v>24</v>
      </c>
      <c r="B316" s="351" t="s">
        <v>25</v>
      </c>
      <c r="C316" s="370" t="s">
        <v>232</v>
      </c>
      <c r="D316" s="378">
        <f>SUM(D317:D318)</f>
        <v>0</v>
      </c>
      <c r="E316" s="378">
        <f>SUM(E317:E318)</f>
        <v>0</v>
      </c>
      <c r="F316" s="379"/>
      <c r="G316" s="361">
        <f t="shared" ref="G316:I316" si="81">SUM(G317:G318)</f>
        <v>122050</v>
      </c>
      <c r="H316" s="361">
        <f t="shared" si="81"/>
        <v>120379</v>
      </c>
      <c r="I316" s="361">
        <f t="shared" si="81"/>
        <v>180712</v>
      </c>
    </row>
    <row r="317" spans="1:11">
      <c r="A317" s="354" t="s">
        <v>28</v>
      </c>
      <c r="B317" s="355" t="s">
        <v>29</v>
      </c>
      <c r="C317" s="370" t="s">
        <v>232</v>
      </c>
      <c r="D317" s="371">
        <v>0</v>
      </c>
      <c r="E317" s="371">
        <v>0</v>
      </c>
      <c r="F317" s="356" t="s">
        <v>235</v>
      </c>
      <c r="G317" s="371">
        <v>8607</v>
      </c>
      <c r="H317" s="371">
        <v>8389</v>
      </c>
      <c r="I317" s="371">
        <v>4446</v>
      </c>
    </row>
    <row r="318" spans="1:11">
      <c r="A318" s="354" t="s">
        <v>28</v>
      </c>
      <c r="B318" s="355" t="s">
        <v>29</v>
      </c>
      <c r="C318" s="370" t="s">
        <v>232</v>
      </c>
      <c r="D318" s="371">
        <v>0</v>
      </c>
      <c r="E318" s="371">
        <v>0</v>
      </c>
      <c r="F318" s="356" t="s">
        <v>315</v>
      </c>
      <c r="G318" s="371">
        <v>113443</v>
      </c>
      <c r="H318" s="371">
        <v>111990</v>
      </c>
      <c r="I318" s="371">
        <v>176266</v>
      </c>
    </row>
    <row r="319" spans="1:11">
      <c r="A319" s="350" t="s">
        <v>34</v>
      </c>
      <c r="B319" s="351" t="s">
        <v>35</v>
      </c>
      <c r="C319" s="370" t="s">
        <v>232</v>
      </c>
      <c r="D319" s="378">
        <f>SUM(D320:D325)</f>
        <v>443307.72</v>
      </c>
      <c r="E319" s="378">
        <f>SUM(E320:E325)</f>
        <v>521156</v>
      </c>
      <c r="F319" s="379"/>
      <c r="G319" s="361">
        <f>G320+G321+G322+G323+G324+G325</f>
        <v>857566</v>
      </c>
      <c r="H319" s="361">
        <f t="shared" ref="H319:I319" si="82">H320+H321+H322+H323+H324+H325</f>
        <v>1002997</v>
      </c>
      <c r="I319" s="361">
        <f t="shared" si="82"/>
        <v>956873</v>
      </c>
    </row>
    <row r="320" spans="1:11">
      <c r="A320" s="354" t="s">
        <v>40</v>
      </c>
      <c r="B320" s="355" t="s">
        <v>41</v>
      </c>
      <c r="C320" s="370" t="s">
        <v>232</v>
      </c>
      <c r="D320" s="371">
        <v>80000</v>
      </c>
      <c r="E320" s="371">
        <v>80000</v>
      </c>
      <c r="F320" s="356" t="s">
        <v>315</v>
      </c>
      <c r="G320" s="371">
        <v>131625</v>
      </c>
      <c r="H320" s="371">
        <v>6375</v>
      </c>
      <c r="I320" s="371">
        <v>67875</v>
      </c>
    </row>
    <row r="321" spans="1:9">
      <c r="A321" s="354" t="s">
        <v>40</v>
      </c>
      <c r="B321" s="355" t="s">
        <v>41</v>
      </c>
      <c r="C321" s="370" t="s">
        <v>232</v>
      </c>
      <c r="D321" s="371">
        <v>42100</v>
      </c>
      <c r="E321" s="371">
        <v>42100</v>
      </c>
      <c r="F321" s="356" t="s">
        <v>235</v>
      </c>
      <c r="G321" s="371">
        <v>3375</v>
      </c>
      <c r="H321" s="371">
        <v>1125</v>
      </c>
      <c r="I321" s="371">
        <v>1125</v>
      </c>
    </row>
    <row r="322" spans="1:9">
      <c r="A322" s="354" t="s">
        <v>44</v>
      </c>
      <c r="B322" s="355" t="s">
        <v>45</v>
      </c>
      <c r="C322" s="370" t="s">
        <v>232</v>
      </c>
      <c r="D322" s="371">
        <v>20000</v>
      </c>
      <c r="E322" s="371">
        <v>20000</v>
      </c>
      <c r="F322" s="356" t="s">
        <v>315</v>
      </c>
      <c r="G322" s="371">
        <v>17975</v>
      </c>
      <c r="H322" s="371">
        <v>31875</v>
      </c>
      <c r="I322" s="371">
        <v>17975</v>
      </c>
    </row>
    <row r="323" spans="1:9">
      <c r="A323" s="354">
        <v>3235</v>
      </c>
      <c r="B323" s="355" t="s">
        <v>45</v>
      </c>
      <c r="C323" s="370" t="s">
        <v>232</v>
      </c>
      <c r="D323" s="371">
        <f>179528.69-17859.83-1065-20000</f>
        <v>140603.85999999999</v>
      </c>
      <c r="E323" s="371">
        <v>179528</v>
      </c>
      <c r="F323" s="356" t="s">
        <v>235</v>
      </c>
      <c r="G323" s="371">
        <v>525</v>
      </c>
      <c r="H323" s="371">
        <v>5625</v>
      </c>
      <c r="I323" s="371">
        <v>525</v>
      </c>
    </row>
    <row r="324" spans="1:9">
      <c r="A324" s="354" t="s">
        <v>48</v>
      </c>
      <c r="B324" s="355" t="s">
        <v>49</v>
      </c>
      <c r="C324" s="370" t="s">
        <v>232</v>
      </c>
      <c r="D324" s="371">
        <v>20000</v>
      </c>
      <c r="E324" s="371">
        <v>20000</v>
      </c>
      <c r="F324" s="356" t="s">
        <v>315</v>
      </c>
      <c r="G324" s="371">
        <v>679373</v>
      </c>
      <c r="H324" s="371">
        <v>932237</v>
      </c>
      <c r="I324" s="371">
        <v>853998</v>
      </c>
    </row>
    <row r="325" spans="1:9">
      <c r="A325" s="354" t="s">
        <v>48</v>
      </c>
      <c r="B325" s="355" t="s">
        <v>49</v>
      </c>
      <c r="C325" s="370" t="s">
        <v>232</v>
      </c>
      <c r="D325" s="371">
        <f>179528.69-17859.83-1065-20000</f>
        <v>140603.85999999999</v>
      </c>
      <c r="E325" s="371">
        <v>179528</v>
      </c>
      <c r="F325" s="356" t="s">
        <v>235</v>
      </c>
      <c r="G325" s="371">
        <v>24693</v>
      </c>
      <c r="H325" s="371">
        <v>25760</v>
      </c>
      <c r="I325" s="371">
        <v>15375</v>
      </c>
    </row>
    <row r="326" spans="1:9">
      <c r="A326" s="362" t="s">
        <v>54</v>
      </c>
      <c r="B326" s="351" t="s">
        <v>55</v>
      </c>
      <c r="C326" s="370" t="s">
        <v>232</v>
      </c>
      <c r="D326" s="378">
        <f>D328</f>
        <v>0</v>
      </c>
      <c r="E326" s="378">
        <f>E328</f>
        <v>-17859</v>
      </c>
      <c r="F326" s="379"/>
      <c r="G326" s="361">
        <f>G327+G328</f>
        <v>34874</v>
      </c>
      <c r="H326" s="361">
        <f t="shared" ref="H326:I326" si="83">H327+H328</f>
        <v>34874</v>
      </c>
      <c r="I326" s="361">
        <f t="shared" si="83"/>
        <v>34874</v>
      </c>
    </row>
    <row r="327" spans="1:9">
      <c r="A327" s="369">
        <v>3241</v>
      </c>
      <c r="B327" s="367" t="s">
        <v>55</v>
      </c>
      <c r="C327" s="370" t="s">
        <v>232</v>
      </c>
      <c r="D327" s="378"/>
      <c r="E327" s="378"/>
      <c r="F327" s="370" t="s">
        <v>315</v>
      </c>
      <c r="G327" s="371">
        <v>29812</v>
      </c>
      <c r="H327" s="371">
        <v>29812</v>
      </c>
      <c r="I327" s="371">
        <v>29812</v>
      </c>
    </row>
    <row r="328" spans="1:9">
      <c r="A328" s="354" t="s">
        <v>56</v>
      </c>
      <c r="B328" s="355" t="s">
        <v>55</v>
      </c>
      <c r="C328" s="370" t="s">
        <v>232</v>
      </c>
      <c r="D328" s="371">
        <v>0</v>
      </c>
      <c r="E328" s="371">
        <v>-17859</v>
      </c>
      <c r="F328" s="356" t="s">
        <v>235</v>
      </c>
      <c r="G328" s="371">
        <v>5062</v>
      </c>
      <c r="H328" s="371">
        <v>5062</v>
      </c>
      <c r="I328" s="371">
        <v>5062</v>
      </c>
    </row>
    <row r="329" spans="1:9">
      <c r="A329" s="362" t="s">
        <v>57</v>
      </c>
      <c r="B329" s="351" t="s">
        <v>58</v>
      </c>
      <c r="C329" s="370" t="s">
        <v>232</v>
      </c>
      <c r="D329" s="361">
        <f>SUM(D330:D331)</f>
        <v>0</v>
      </c>
      <c r="E329" s="361">
        <f>SUM(E330:E331)</f>
        <v>-1065</v>
      </c>
      <c r="F329" s="380"/>
      <c r="G329" s="361">
        <f t="shared" ref="G329:I329" si="84">SUM(G330:G331)</f>
        <v>22250</v>
      </c>
      <c r="H329" s="361">
        <f t="shared" si="84"/>
        <v>37500</v>
      </c>
      <c r="I329" s="361">
        <f t="shared" si="84"/>
        <v>22250</v>
      </c>
    </row>
    <row r="330" spans="1:9">
      <c r="A330" s="354" t="s">
        <v>63</v>
      </c>
      <c r="B330" s="355" t="s">
        <v>64</v>
      </c>
      <c r="C330" s="370" t="s">
        <v>232</v>
      </c>
      <c r="D330" s="371">
        <v>0</v>
      </c>
      <c r="E330" s="371">
        <v>-1065</v>
      </c>
      <c r="F330" s="356" t="s">
        <v>235</v>
      </c>
      <c r="G330" s="371">
        <v>525</v>
      </c>
      <c r="H330" s="371">
        <v>5625</v>
      </c>
      <c r="I330" s="371">
        <v>525</v>
      </c>
    </row>
    <row r="331" spans="1:9">
      <c r="A331" s="354" t="s">
        <v>63</v>
      </c>
      <c r="B331" s="355" t="s">
        <v>64</v>
      </c>
      <c r="C331" s="370" t="s">
        <v>232</v>
      </c>
      <c r="D331" s="371">
        <v>0</v>
      </c>
      <c r="E331" s="371">
        <v>0</v>
      </c>
      <c r="F331" s="356" t="s">
        <v>315</v>
      </c>
      <c r="G331" s="371">
        <v>21725</v>
      </c>
      <c r="H331" s="371">
        <v>31875</v>
      </c>
      <c r="I331" s="371">
        <v>21725</v>
      </c>
    </row>
    <row r="332" spans="1:9">
      <c r="A332" s="350" t="s">
        <v>173</v>
      </c>
      <c r="B332" s="351" t="s">
        <v>357</v>
      </c>
      <c r="C332" s="370" t="s">
        <v>232</v>
      </c>
      <c r="D332" s="378">
        <f>SUM(D333)</f>
        <v>0</v>
      </c>
      <c r="E332" s="378">
        <f>SUM(E333)</f>
        <v>-20000</v>
      </c>
      <c r="F332" s="379"/>
      <c r="G332" s="361">
        <f t="shared" ref="G332:I332" si="85">SUM(G333)</f>
        <v>0</v>
      </c>
      <c r="H332" s="361">
        <f t="shared" si="85"/>
        <v>0</v>
      </c>
      <c r="I332" s="361">
        <f t="shared" si="85"/>
        <v>0</v>
      </c>
    </row>
    <row r="333" spans="1:9">
      <c r="A333" s="366" t="s">
        <v>174</v>
      </c>
      <c r="B333" s="367" t="s">
        <v>175</v>
      </c>
      <c r="C333" s="370" t="s">
        <v>232</v>
      </c>
      <c r="D333" s="371">
        <v>0</v>
      </c>
      <c r="E333" s="371">
        <v>-20000</v>
      </c>
      <c r="F333" s="356" t="s">
        <v>235</v>
      </c>
      <c r="G333" s="361"/>
      <c r="H333" s="371"/>
      <c r="I333" s="361"/>
    </row>
    <row r="334" spans="1:9">
      <c r="A334" s="346" t="s">
        <v>392</v>
      </c>
      <c r="B334" s="376" t="s">
        <v>351</v>
      </c>
      <c r="C334" s="348" t="s">
        <v>350</v>
      </c>
      <c r="D334" s="349">
        <f>D335+D337</f>
        <v>0.02</v>
      </c>
      <c r="E334" s="349">
        <f>E335+E337</f>
        <v>0</v>
      </c>
      <c r="F334" s="349"/>
      <c r="G334" s="349">
        <f t="shared" ref="G334:I334" si="86">G335+G337</f>
        <v>3198036</v>
      </c>
      <c r="H334" s="349">
        <f t="shared" si="86"/>
        <v>2896042</v>
      </c>
      <c r="I334" s="349">
        <f t="shared" si="86"/>
        <v>2435040</v>
      </c>
    </row>
    <row r="335" spans="1:9">
      <c r="A335" s="350" t="s">
        <v>207</v>
      </c>
      <c r="B335" s="351" t="s">
        <v>352</v>
      </c>
      <c r="C335" s="352" t="s">
        <v>350</v>
      </c>
      <c r="D335" s="381">
        <f>SUM(D336:D336)</f>
        <v>0.02</v>
      </c>
      <c r="E335" s="381">
        <f>SUM(E336:E336)</f>
        <v>0</v>
      </c>
      <c r="F335" s="381"/>
      <c r="G335" s="353">
        <f t="shared" ref="G335:I335" si="87">SUM(G336:G336)</f>
        <v>3198036</v>
      </c>
      <c r="H335" s="353">
        <f t="shared" si="87"/>
        <v>2896042</v>
      </c>
      <c r="I335" s="353">
        <f t="shared" si="87"/>
        <v>2435040</v>
      </c>
    </row>
    <row r="336" spans="1:9">
      <c r="A336" s="354">
        <v>3512</v>
      </c>
      <c r="B336" s="355" t="s">
        <v>353</v>
      </c>
      <c r="C336" s="382" t="s">
        <v>350</v>
      </c>
      <c r="D336" s="357">
        <v>0.02</v>
      </c>
      <c r="E336" s="357">
        <v>0</v>
      </c>
      <c r="F336" s="382">
        <v>11</v>
      </c>
      <c r="G336" s="371">
        <v>3198036</v>
      </c>
      <c r="H336" s="371">
        <v>2896042</v>
      </c>
      <c r="I336" s="383">
        <v>2435040</v>
      </c>
    </row>
    <row r="337" spans="1:9">
      <c r="A337" s="362">
        <v>381</v>
      </c>
      <c r="B337" s="351" t="s">
        <v>354</v>
      </c>
      <c r="C337" s="384" t="s">
        <v>350</v>
      </c>
      <c r="D337" s="361">
        <f>D338</f>
        <v>0</v>
      </c>
      <c r="E337" s="361">
        <f>E338</f>
        <v>0</v>
      </c>
      <c r="F337" s="361"/>
      <c r="G337" s="361">
        <f t="shared" ref="G337:I337" si="88">G338</f>
        <v>0</v>
      </c>
      <c r="H337" s="361">
        <f t="shared" si="88"/>
        <v>0</v>
      </c>
      <c r="I337" s="361">
        <f t="shared" si="88"/>
        <v>0</v>
      </c>
    </row>
    <row r="338" spans="1:9">
      <c r="A338" s="354">
        <v>3811</v>
      </c>
      <c r="B338" s="355" t="s">
        <v>81</v>
      </c>
      <c r="C338" s="382" t="s">
        <v>350</v>
      </c>
      <c r="D338" s="357">
        <v>0</v>
      </c>
      <c r="E338" s="357">
        <v>0</v>
      </c>
      <c r="F338" s="382" t="s">
        <v>0</v>
      </c>
      <c r="G338" s="371"/>
      <c r="H338" s="371"/>
      <c r="I338" s="383"/>
    </row>
    <row r="388" spans="1:9">
      <c r="A388" s="44"/>
    </row>
    <row r="389" spans="1:9">
      <c r="A389" s="44"/>
    </row>
    <row r="390" spans="1:9">
      <c r="A390" s="44"/>
    </row>
    <row r="391" spans="1:9">
      <c r="A391" s="44"/>
    </row>
    <row r="392" spans="1:9">
      <c r="A392" s="44"/>
    </row>
    <row r="393" spans="1:9">
      <c r="A393" s="44"/>
    </row>
    <row r="394" spans="1:9">
      <c r="A394" s="44"/>
    </row>
    <row r="395" spans="1:9">
      <c r="A395" s="44"/>
    </row>
    <row r="400" spans="1:9">
      <c r="A400" s="220"/>
      <c r="B400" s="220"/>
      <c r="C400" s="220"/>
      <c r="D400" s="220"/>
      <c r="E400" s="220"/>
      <c r="F400" s="220"/>
      <c r="G400" s="220"/>
      <c r="H400" s="220"/>
      <c r="I400" s="220"/>
    </row>
    <row r="401" spans="1:9">
      <c r="A401" s="220"/>
      <c r="B401" s="221"/>
      <c r="C401" s="222"/>
      <c r="D401" s="223"/>
      <c r="E401" s="223"/>
      <c r="F401" s="223"/>
      <c r="G401" s="223"/>
      <c r="H401" s="223"/>
      <c r="I401" s="223"/>
    </row>
    <row r="404" spans="1:9">
      <c r="A404" s="44"/>
      <c r="D404" s="26"/>
      <c r="E404" s="26"/>
      <c r="H404" s="26"/>
      <c r="I404" s="26"/>
    </row>
    <row r="405" spans="1:9">
      <c r="A405" s="44"/>
      <c r="D405" s="98"/>
      <c r="E405" s="98"/>
      <c r="G405" s="97"/>
      <c r="H405" s="98"/>
      <c r="I405" s="98"/>
    </row>
    <row r="406" spans="1:9">
      <c r="A406" s="44"/>
      <c r="D406" s="98"/>
      <c r="E406" s="98"/>
      <c r="H406" s="98"/>
      <c r="I406" s="98"/>
    </row>
    <row r="407" spans="1:9">
      <c r="A407" s="44"/>
      <c r="D407" s="99"/>
      <c r="E407" s="99"/>
      <c r="H407" s="99"/>
      <c r="I407" s="99"/>
    </row>
  </sheetData>
  <mergeCells count="3">
    <mergeCell ref="B2:C2"/>
    <mergeCell ref="A3:C15"/>
    <mergeCell ref="A16:C16"/>
  </mergeCells>
  <printOptions horizontalCentered="1"/>
  <pageMargins left="0.39370078740157483" right="0.19685039370078741" top="0.39370078740157483" bottom="0.39370078740157483" header="0.39370078740157483" footer="0.39370078740157483"/>
  <pageSetup paperSize="9" orientation="landscape" r:id="rId1"/>
  <headerFooter>
    <oddFooter>&amp;CHAMAG-BICRO&amp;R&amp;P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zoomScale="110" zoomScaleNormal="110" workbookViewId="0">
      <selection activeCell="F20" sqref="F20"/>
    </sheetView>
  </sheetViews>
  <sheetFormatPr defaultRowHeight="15"/>
  <cols>
    <col min="1" max="1" width="9.7109375" style="66" customWidth="1"/>
    <col min="2" max="2" width="50.7109375" style="44" customWidth="1"/>
    <col min="3" max="3" width="5.7109375" style="44" customWidth="1"/>
    <col min="4" max="4" width="15.7109375" style="44" hidden="1" customWidth="1"/>
    <col min="5" max="5" width="5.7109375" style="432" customWidth="1"/>
    <col min="6" max="8" width="16.7109375" style="44" customWidth="1"/>
    <col min="9" max="9" width="26.5703125" style="44" customWidth="1"/>
    <col min="10" max="16384" width="9.140625" style="44"/>
  </cols>
  <sheetData>
    <row r="1" spans="1:8" ht="30" customHeight="1">
      <c r="A1" s="306"/>
      <c r="B1" s="216"/>
      <c r="C1" s="297" t="s">
        <v>220</v>
      </c>
      <c r="D1" s="298" t="s">
        <v>393</v>
      </c>
      <c r="E1" s="423" t="s">
        <v>180</v>
      </c>
      <c r="F1" s="335" t="s">
        <v>398</v>
      </c>
      <c r="G1" s="335" t="s">
        <v>399</v>
      </c>
      <c r="H1" s="335" t="s">
        <v>400</v>
      </c>
    </row>
    <row r="2" spans="1:8" ht="25.5" customHeight="1">
      <c r="A2" s="299" t="s">
        <v>371</v>
      </c>
      <c r="B2" s="620" t="s">
        <v>309</v>
      </c>
      <c r="C2" s="621"/>
      <c r="D2" s="300">
        <f>D3+D4+D6+D7+D8</f>
        <v>698309.05</v>
      </c>
      <c r="E2" s="428"/>
      <c r="F2" s="300">
        <f>F3+F4+F6+F7+F8</f>
        <v>2056542</v>
      </c>
      <c r="G2" s="300">
        <f>G3+G4+G6+G7+G8</f>
        <v>2006542</v>
      </c>
      <c r="H2" s="300">
        <f>H3+H4+H6+H7+H8</f>
        <v>2006542</v>
      </c>
    </row>
    <row r="3" spans="1:8">
      <c r="A3" s="599"/>
      <c r="B3" s="599"/>
      <c r="C3" s="600"/>
      <c r="D3" s="301">
        <f>D12+D14+D16+D17+D19+D21+D23+D26+D28+D29+D30+D32+D34+D35+D37+D38+D40+D41+D42+D44+D47+D49+D51+D53+D55+D57+D59+D61+D63+D64</f>
        <v>637515.41</v>
      </c>
      <c r="E3" s="424">
        <v>11</v>
      </c>
      <c r="F3" s="301">
        <f t="shared" ref="F3:H3" si="0">F12+F14+F16+F17+F19+F21+F23+F26+F28+F29+F30+F32+F34+F35+F37+F38+F40+F41+F42+F44+F47+F49+F51+F53+F55+F57+F59+F61+F63+F64</f>
        <v>2006542</v>
      </c>
      <c r="G3" s="301">
        <f t="shared" si="0"/>
        <v>2006542</v>
      </c>
      <c r="H3" s="301">
        <f t="shared" si="0"/>
        <v>2006542</v>
      </c>
    </row>
    <row r="4" spans="1:8">
      <c r="A4" s="601"/>
      <c r="B4" s="601"/>
      <c r="C4" s="602"/>
      <c r="D4" s="301">
        <v>0</v>
      </c>
      <c r="E4" s="424">
        <v>12</v>
      </c>
      <c r="F4" s="301">
        <v>0</v>
      </c>
      <c r="G4" s="301">
        <v>0</v>
      </c>
      <c r="H4" s="301">
        <v>0</v>
      </c>
    </row>
    <row r="5" spans="1:8">
      <c r="A5" s="601"/>
      <c r="B5" s="601"/>
      <c r="C5" s="602"/>
      <c r="D5" s="302">
        <f>D3+D4</f>
        <v>637515.41</v>
      </c>
      <c r="E5" s="425" t="s">
        <v>267</v>
      </c>
      <c r="F5" s="302">
        <f>F3+F4</f>
        <v>2006542</v>
      </c>
      <c r="G5" s="302">
        <f>G3+G4</f>
        <v>2006542</v>
      </c>
      <c r="H5" s="302"/>
    </row>
    <row r="6" spans="1:8">
      <c r="A6" s="601"/>
      <c r="B6" s="601"/>
      <c r="C6" s="602"/>
      <c r="D6" s="301">
        <f>D20+D22+D24+D27+D33+D36+D39+D43+D45++D50+D52+D56+D58</f>
        <v>60793.640000000007</v>
      </c>
      <c r="E6" s="424">
        <v>31</v>
      </c>
      <c r="F6" s="301">
        <f t="shared" ref="F6:H6" si="1">F20+F22+F24+F27+F33+F36+F39+F43+F45++F50+F52+F56+F58</f>
        <v>50000</v>
      </c>
      <c r="G6" s="301">
        <f t="shared" si="1"/>
        <v>0</v>
      </c>
      <c r="H6" s="301">
        <f t="shared" si="1"/>
        <v>0</v>
      </c>
    </row>
    <row r="7" spans="1:8">
      <c r="A7" s="601"/>
      <c r="B7" s="601"/>
      <c r="C7" s="602"/>
      <c r="D7" s="301">
        <v>0</v>
      </c>
      <c r="E7" s="424" t="str">
        <f>E47</f>
        <v>11</v>
      </c>
      <c r="F7" s="301">
        <v>0</v>
      </c>
      <c r="G7" s="301">
        <v>0</v>
      </c>
      <c r="H7" s="301">
        <v>0</v>
      </c>
    </row>
    <row r="8" spans="1:8">
      <c r="A8" s="601"/>
      <c r="B8" s="601"/>
      <c r="C8" s="602"/>
      <c r="D8" s="301">
        <v>0</v>
      </c>
      <c r="E8" s="424">
        <v>561</v>
      </c>
      <c r="F8" s="301">
        <v>0</v>
      </c>
      <c r="G8" s="301">
        <v>0</v>
      </c>
      <c r="H8" s="301">
        <v>0</v>
      </c>
    </row>
    <row r="9" spans="1:8" ht="30" customHeight="1">
      <c r="A9" s="622" t="s">
        <v>377</v>
      </c>
      <c r="B9" s="623"/>
      <c r="C9" s="623"/>
      <c r="D9" s="623"/>
      <c r="E9" s="623"/>
      <c r="F9" s="623"/>
      <c r="G9" s="623"/>
      <c r="H9" s="624"/>
    </row>
    <row r="10" spans="1:8">
      <c r="A10" s="307" t="s">
        <v>412</v>
      </c>
      <c r="B10" s="308" t="s">
        <v>413</v>
      </c>
      <c r="C10" s="309" t="s">
        <v>233</v>
      </c>
      <c r="D10" s="417">
        <f>D11+D13+D15+D18+D25+D31+D46+D48+D54+D60+D62</f>
        <v>698309.04999999993</v>
      </c>
      <c r="E10" s="429"/>
      <c r="F10" s="417">
        <f>F11+F13+F15+F18+F25+F31+F46+F48+F54+F60+F62</f>
        <v>2056542</v>
      </c>
      <c r="G10" s="417">
        <f t="shared" ref="G10:H10" si="2">G11+G13+G15+G18+G25+G31+G46+G48+G54+G60+G62</f>
        <v>2006542</v>
      </c>
      <c r="H10" s="417">
        <f t="shared" si="2"/>
        <v>2006542</v>
      </c>
    </row>
    <row r="11" spans="1:8">
      <c r="A11" s="303" t="s">
        <v>1</v>
      </c>
      <c r="B11" s="304" t="s">
        <v>2</v>
      </c>
      <c r="C11" s="305" t="s">
        <v>233</v>
      </c>
      <c r="D11" s="418">
        <f t="shared" ref="D11:H11" si="3">D12</f>
        <v>221107.18</v>
      </c>
      <c r="E11" s="430"/>
      <c r="F11" s="418">
        <f>F12</f>
        <v>1025561</v>
      </c>
      <c r="G11" s="418">
        <f t="shared" si="3"/>
        <v>1035561</v>
      </c>
      <c r="H11" s="418">
        <f t="shared" si="3"/>
        <v>1040561</v>
      </c>
    </row>
    <row r="12" spans="1:8">
      <c r="A12" s="310" t="s">
        <v>3</v>
      </c>
      <c r="B12" s="311" t="s">
        <v>4</v>
      </c>
      <c r="C12" s="305" t="s">
        <v>233</v>
      </c>
      <c r="D12" s="419">
        <v>221107.18</v>
      </c>
      <c r="E12" s="426" t="s">
        <v>0</v>
      </c>
      <c r="F12" s="419">
        <v>1025561</v>
      </c>
      <c r="G12" s="419">
        <v>1035561</v>
      </c>
      <c r="H12" s="419">
        <v>1040561</v>
      </c>
    </row>
    <row r="13" spans="1:8" ht="15" customHeight="1">
      <c r="A13" s="303" t="s">
        <v>7</v>
      </c>
      <c r="B13" s="304" t="s">
        <v>8</v>
      </c>
      <c r="C13" s="305" t="s">
        <v>233</v>
      </c>
      <c r="D13" s="418">
        <f t="shared" ref="D13:H13" si="4">D14</f>
        <v>12087</v>
      </c>
      <c r="E13" s="430"/>
      <c r="F13" s="418">
        <f>F14</f>
        <v>24000</v>
      </c>
      <c r="G13" s="418">
        <f t="shared" si="4"/>
        <v>24000</v>
      </c>
      <c r="H13" s="418">
        <f t="shared" si="4"/>
        <v>24000</v>
      </c>
    </row>
    <row r="14" spans="1:8">
      <c r="A14" s="310" t="s">
        <v>9</v>
      </c>
      <c r="B14" s="311" t="s">
        <v>8</v>
      </c>
      <c r="C14" s="305" t="s">
        <v>233</v>
      </c>
      <c r="D14" s="419">
        <v>12087</v>
      </c>
      <c r="E14" s="426" t="s">
        <v>0</v>
      </c>
      <c r="F14" s="419">
        <v>24000</v>
      </c>
      <c r="G14" s="419">
        <v>24000</v>
      </c>
      <c r="H14" s="419">
        <v>24000</v>
      </c>
    </row>
    <row r="15" spans="1:8">
      <c r="A15" s="303" t="s">
        <v>10</v>
      </c>
      <c r="B15" s="304" t="s">
        <v>11</v>
      </c>
      <c r="C15" s="305" t="s">
        <v>233</v>
      </c>
      <c r="D15" s="418">
        <f>D16+D17</f>
        <v>44214.320000000007</v>
      </c>
      <c r="E15" s="430"/>
      <c r="F15" s="418">
        <f>F16+F17</f>
        <v>180981</v>
      </c>
      <c r="G15" s="418">
        <f t="shared" ref="G15:H15" si="5">G16+G17</f>
        <v>183981</v>
      </c>
      <c r="H15" s="418">
        <f t="shared" si="5"/>
        <v>186981</v>
      </c>
    </row>
    <row r="16" spans="1:8">
      <c r="A16" s="310" t="s">
        <v>12</v>
      </c>
      <c r="B16" s="311" t="s">
        <v>13</v>
      </c>
      <c r="C16" s="305" t="s">
        <v>233</v>
      </c>
      <c r="D16" s="419">
        <v>39506.300000000003</v>
      </c>
      <c r="E16" s="426" t="s">
        <v>0</v>
      </c>
      <c r="F16" s="419">
        <v>156850</v>
      </c>
      <c r="G16" s="419">
        <v>158850</v>
      </c>
      <c r="H16" s="419">
        <v>160850</v>
      </c>
    </row>
    <row r="17" spans="1:8">
      <c r="A17" s="310" t="s">
        <v>14</v>
      </c>
      <c r="B17" s="311" t="s">
        <v>15</v>
      </c>
      <c r="C17" s="305" t="s">
        <v>233</v>
      </c>
      <c r="D17" s="419">
        <v>4708.0200000000004</v>
      </c>
      <c r="E17" s="426" t="s">
        <v>0</v>
      </c>
      <c r="F17" s="419">
        <v>24131</v>
      </c>
      <c r="G17" s="419">
        <v>25131</v>
      </c>
      <c r="H17" s="419">
        <v>26131</v>
      </c>
    </row>
    <row r="18" spans="1:8">
      <c r="A18" s="303" t="s">
        <v>16</v>
      </c>
      <c r="B18" s="304" t="s">
        <v>17</v>
      </c>
      <c r="C18" s="305" t="s">
        <v>233</v>
      </c>
      <c r="D18" s="418">
        <f>D19+D20+D21+D22+D23+D24</f>
        <v>78727.03</v>
      </c>
      <c r="E18" s="426"/>
      <c r="F18" s="418">
        <f>F19+F20+F21+F22+F23+F24</f>
        <v>140000</v>
      </c>
      <c r="G18" s="418">
        <f t="shared" ref="G18:H18" si="6">G19+G20+G21+G22+G23+G24</f>
        <v>130000</v>
      </c>
      <c r="H18" s="418">
        <f t="shared" si="6"/>
        <v>130000</v>
      </c>
    </row>
    <row r="19" spans="1:8">
      <c r="A19" s="310" t="s">
        <v>18</v>
      </c>
      <c r="B19" s="312" t="s">
        <v>19</v>
      </c>
      <c r="C19" s="305" t="s">
        <v>233</v>
      </c>
      <c r="D19" s="420">
        <v>33797.25</v>
      </c>
      <c r="E19" s="426">
        <v>11</v>
      </c>
      <c r="F19" s="420">
        <v>100000</v>
      </c>
      <c r="G19" s="420">
        <v>100000</v>
      </c>
      <c r="H19" s="420">
        <v>100000</v>
      </c>
    </row>
    <row r="20" spans="1:8">
      <c r="A20" s="313" t="s">
        <v>18</v>
      </c>
      <c r="B20" s="314" t="s">
        <v>19</v>
      </c>
      <c r="C20" s="305" t="s">
        <v>233</v>
      </c>
      <c r="D20" s="421">
        <v>14000</v>
      </c>
      <c r="E20" s="427">
        <v>31</v>
      </c>
      <c r="F20" s="421">
        <v>10000</v>
      </c>
      <c r="G20" s="421">
        <v>0</v>
      </c>
      <c r="H20" s="421">
        <v>0</v>
      </c>
    </row>
    <row r="21" spans="1:8" s="100" customFormat="1">
      <c r="A21" s="310" t="s">
        <v>20</v>
      </c>
      <c r="B21" s="311" t="s">
        <v>21</v>
      </c>
      <c r="C21" s="305" t="s">
        <v>233</v>
      </c>
      <c r="D21" s="419">
        <v>6210</v>
      </c>
      <c r="E21" s="426" t="s">
        <v>0</v>
      </c>
      <c r="F21" s="447">
        <v>22000</v>
      </c>
      <c r="G21" s="419">
        <v>22000</v>
      </c>
      <c r="H21" s="419">
        <v>22000</v>
      </c>
    </row>
    <row r="22" spans="1:8">
      <c r="A22" s="313">
        <v>3212</v>
      </c>
      <c r="B22" s="314" t="s">
        <v>21</v>
      </c>
      <c r="C22" s="305" t="s">
        <v>233</v>
      </c>
      <c r="D22" s="421">
        <v>4350</v>
      </c>
      <c r="E22" s="427" t="s">
        <v>272</v>
      </c>
      <c r="F22" s="421">
        <v>0</v>
      </c>
      <c r="G22" s="421">
        <v>0</v>
      </c>
      <c r="H22" s="421">
        <v>0</v>
      </c>
    </row>
    <row r="23" spans="1:8">
      <c r="A23" s="310" t="s">
        <v>22</v>
      </c>
      <c r="B23" s="311" t="s">
        <v>23</v>
      </c>
      <c r="C23" s="305" t="s">
        <v>233</v>
      </c>
      <c r="D23" s="419">
        <v>17369.78</v>
      </c>
      <c r="E23" s="426" t="s">
        <v>0</v>
      </c>
      <c r="F23" s="419">
        <v>8000</v>
      </c>
      <c r="G23" s="419">
        <v>8000</v>
      </c>
      <c r="H23" s="419">
        <v>8000</v>
      </c>
    </row>
    <row r="24" spans="1:8">
      <c r="A24" s="313" t="s">
        <v>22</v>
      </c>
      <c r="B24" s="314" t="s">
        <v>23</v>
      </c>
      <c r="C24" s="305" t="s">
        <v>233</v>
      </c>
      <c r="D24" s="421">
        <v>3000</v>
      </c>
      <c r="E24" s="427" t="s">
        <v>272</v>
      </c>
      <c r="F24" s="421">
        <v>0</v>
      </c>
      <c r="G24" s="421">
        <v>0</v>
      </c>
      <c r="H24" s="421">
        <v>0</v>
      </c>
    </row>
    <row r="25" spans="1:8">
      <c r="A25" s="303" t="s">
        <v>24</v>
      </c>
      <c r="B25" s="304" t="s">
        <v>25</v>
      </c>
      <c r="C25" s="305" t="s">
        <v>233</v>
      </c>
      <c r="D25" s="418">
        <f t="shared" ref="D25" si="7">D26+D27+D28+D29+D30</f>
        <v>22912.720000000001</v>
      </c>
      <c r="E25" s="430"/>
      <c r="F25" s="418">
        <f>F26+F27+F28+F29+F30</f>
        <v>36000</v>
      </c>
      <c r="G25" s="418">
        <f t="shared" ref="G25:H25" si="8">G26+G27+G28+G29+G30</f>
        <v>35000</v>
      </c>
      <c r="H25" s="418">
        <f t="shared" si="8"/>
        <v>35000</v>
      </c>
    </row>
    <row r="26" spans="1:8">
      <c r="A26" s="310" t="s">
        <v>26</v>
      </c>
      <c r="B26" s="311" t="s">
        <v>27</v>
      </c>
      <c r="C26" s="305" t="s">
        <v>233</v>
      </c>
      <c r="D26" s="419">
        <v>9765.5300000000007</v>
      </c>
      <c r="E26" s="426" t="s">
        <v>0</v>
      </c>
      <c r="F26" s="419">
        <v>10000</v>
      </c>
      <c r="G26" s="419">
        <v>10000</v>
      </c>
      <c r="H26" s="419">
        <v>10000</v>
      </c>
    </row>
    <row r="27" spans="1:8">
      <c r="A27" s="313">
        <v>3221</v>
      </c>
      <c r="B27" s="314" t="s">
        <v>27</v>
      </c>
      <c r="C27" s="305" t="s">
        <v>233</v>
      </c>
      <c r="D27" s="421">
        <v>1000</v>
      </c>
      <c r="E27" s="427" t="s">
        <v>272</v>
      </c>
      <c r="F27" s="421">
        <v>0</v>
      </c>
      <c r="G27" s="421">
        <v>0</v>
      </c>
      <c r="H27" s="421">
        <v>0</v>
      </c>
    </row>
    <row r="28" spans="1:8">
      <c r="A28" s="310" t="s">
        <v>28</v>
      </c>
      <c r="B28" s="35" t="s">
        <v>29</v>
      </c>
      <c r="C28" s="305" t="s">
        <v>233</v>
      </c>
      <c r="D28" s="419">
        <v>5745.99</v>
      </c>
      <c r="E28" s="426" t="s">
        <v>0</v>
      </c>
      <c r="F28" s="419">
        <v>15000</v>
      </c>
      <c r="G28" s="419">
        <v>15000</v>
      </c>
      <c r="H28" s="419">
        <v>15000</v>
      </c>
    </row>
    <row r="29" spans="1:8">
      <c r="A29" s="310" t="s">
        <v>30</v>
      </c>
      <c r="B29" s="311" t="s">
        <v>31</v>
      </c>
      <c r="C29" s="305" t="s">
        <v>233</v>
      </c>
      <c r="D29" s="419">
        <v>3664.36</v>
      </c>
      <c r="E29" s="426" t="s">
        <v>0</v>
      </c>
      <c r="F29" s="419">
        <v>6000</v>
      </c>
      <c r="G29" s="419">
        <v>5000</v>
      </c>
      <c r="H29" s="419">
        <v>5000</v>
      </c>
    </row>
    <row r="30" spans="1:8">
      <c r="A30" s="310" t="s">
        <v>32</v>
      </c>
      <c r="B30" s="311" t="s">
        <v>33</v>
      </c>
      <c r="C30" s="305" t="s">
        <v>233</v>
      </c>
      <c r="D30" s="419">
        <v>2736.84</v>
      </c>
      <c r="E30" s="426" t="s">
        <v>0</v>
      </c>
      <c r="F30" s="419">
        <v>5000</v>
      </c>
      <c r="G30" s="419">
        <v>5000</v>
      </c>
      <c r="H30" s="419">
        <v>5000</v>
      </c>
    </row>
    <row r="31" spans="1:8">
      <c r="A31" s="303" t="s">
        <v>34</v>
      </c>
      <c r="B31" s="304" t="s">
        <v>35</v>
      </c>
      <c r="C31" s="305" t="s">
        <v>233</v>
      </c>
      <c r="D31" s="418">
        <f>D32+D33+D34+D35+D36+D37+D38+D39+D40+D41+D42+D43+D44+D45</f>
        <v>213310.84999999998</v>
      </c>
      <c r="E31" s="430"/>
      <c r="F31" s="418">
        <f>F32+F33+F34+F35+F36+F37+F38+F39+F40+F41+F42+F43+F44+F45</f>
        <v>492000</v>
      </c>
      <c r="G31" s="418">
        <f t="shared" ref="G31:H31" si="9">G32+G33+G34+G35+G36+G37+G38+G39+G40+G41+G42+G43+G44+G45</f>
        <v>463000</v>
      </c>
      <c r="H31" s="418">
        <f t="shared" si="9"/>
        <v>462000</v>
      </c>
    </row>
    <row r="32" spans="1:8">
      <c r="A32" s="310" t="s">
        <v>36</v>
      </c>
      <c r="B32" s="311" t="s">
        <v>37</v>
      </c>
      <c r="C32" s="305" t="s">
        <v>233</v>
      </c>
      <c r="D32" s="419">
        <v>13118.39</v>
      </c>
      <c r="E32" s="426" t="s">
        <v>0</v>
      </c>
      <c r="F32" s="419">
        <v>50000</v>
      </c>
      <c r="G32" s="419">
        <v>50000</v>
      </c>
      <c r="H32" s="419">
        <v>50000</v>
      </c>
    </row>
    <row r="33" spans="1:8">
      <c r="A33" s="313">
        <v>3231</v>
      </c>
      <c r="B33" s="314" t="s">
        <v>37</v>
      </c>
      <c r="C33" s="305" t="s">
        <v>233</v>
      </c>
      <c r="D33" s="421">
        <v>10000</v>
      </c>
      <c r="E33" s="427" t="s">
        <v>272</v>
      </c>
      <c r="F33" s="421">
        <v>0</v>
      </c>
      <c r="G33" s="421">
        <v>0</v>
      </c>
      <c r="H33" s="421">
        <v>0</v>
      </c>
    </row>
    <row r="34" spans="1:8">
      <c r="A34" s="310" t="s">
        <v>38</v>
      </c>
      <c r="B34" s="311" t="s">
        <v>39</v>
      </c>
      <c r="C34" s="305" t="s">
        <v>233</v>
      </c>
      <c r="D34" s="419">
        <v>1421.88</v>
      </c>
      <c r="E34" s="426" t="s">
        <v>0</v>
      </c>
      <c r="F34" s="419">
        <v>5000</v>
      </c>
      <c r="G34" s="419">
        <v>5000</v>
      </c>
      <c r="H34" s="419">
        <v>5000</v>
      </c>
    </row>
    <row r="35" spans="1:8">
      <c r="A35" s="310" t="s">
        <v>40</v>
      </c>
      <c r="B35" s="311" t="s">
        <v>41</v>
      </c>
      <c r="C35" s="305" t="s">
        <v>233</v>
      </c>
      <c r="D35" s="419">
        <v>19420</v>
      </c>
      <c r="E35" s="426" t="s">
        <v>0</v>
      </c>
      <c r="F35" s="419">
        <v>100000</v>
      </c>
      <c r="G35" s="419">
        <v>100000</v>
      </c>
      <c r="H35" s="419">
        <v>100000</v>
      </c>
    </row>
    <row r="36" spans="1:8">
      <c r="A36" s="313" t="s">
        <v>40</v>
      </c>
      <c r="B36" s="314" t="s">
        <v>41</v>
      </c>
      <c r="C36" s="305" t="s">
        <v>233</v>
      </c>
      <c r="D36" s="421">
        <v>258.52</v>
      </c>
      <c r="E36" s="427" t="s">
        <v>272</v>
      </c>
      <c r="F36" s="421">
        <v>10000</v>
      </c>
      <c r="G36" s="421">
        <v>0</v>
      </c>
      <c r="H36" s="421">
        <v>0</v>
      </c>
    </row>
    <row r="37" spans="1:8">
      <c r="A37" s="310" t="s">
        <v>42</v>
      </c>
      <c r="B37" s="311" t="s">
        <v>43</v>
      </c>
      <c r="C37" s="305" t="s">
        <v>233</v>
      </c>
      <c r="D37" s="419">
        <v>1305.52</v>
      </c>
      <c r="E37" s="426" t="s">
        <v>0</v>
      </c>
      <c r="F37" s="419">
        <v>6000</v>
      </c>
      <c r="G37" s="419">
        <v>6000</v>
      </c>
      <c r="H37" s="419">
        <v>6000</v>
      </c>
    </row>
    <row r="38" spans="1:8">
      <c r="A38" s="310" t="s">
        <v>44</v>
      </c>
      <c r="B38" s="311" t="s">
        <v>45</v>
      </c>
      <c r="C38" s="305" t="s">
        <v>233</v>
      </c>
      <c r="D38" s="419">
        <v>24256.25</v>
      </c>
      <c r="E38" s="426" t="s">
        <v>0</v>
      </c>
      <c r="F38" s="419">
        <v>110000</v>
      </c>
      <c r="G38" s="419">
        <v>110000</v>
      </c>
      <c r="H38" s="419">
        <v>110000</v>
      </c>
    </row>
    <row r="39" spans="1:8">
      <c r="A39" s="313">
        <v>3235</v>
      </c>
      <c r="B39" s="314" t="s">
        <v>45</v>
      </c>
      <c r="C39" s="305" t="s">
        <v>233</v>
      </c>
      <c r="D39" s="421">
        <v>16350</v>
      </c>
      <c r="E39" s="427" t="s">
        <v>272</v>
      </c>
      <c r="F39" s="421">
        <v>10000</v>
      </c>
      <c r="G39" s="421">
        <v>0</v>
      </c>
      <c r="H39" s="421">
        <v>0</v>
      </c>
    </row>
    <row r="40" spans="1:8">
      <c r="A40" s="310" t="s">
        <v>46</v>
      </c>
      <c r="B40" s="311" t="s">
        <v>47</v>
      </c>
      <c r="C40" s="305" t="s">
        <v>233</v>
      </c>
      <c r="D40" s="419">
        <v>3000</v>
      </c>
      <c r="E40" s="426" t="s">
        <v>0</v>
      </c>
      <c r="F40" s="419">
        <v>1000</v>
      </c>
      <c r="G40" s="419">
        <v>2000</v>
      </c>
      <c r="H40" s="419">
        <v>4000</v>
      </c>
    </row>
    <row r="41" spans="1:8">
      <c r="A41" s="310" t="s">
        <v>48</v>
      </c>
      <c r="B41" s="311" t="s">
        <v>49</v>
      </c>
      <c r="C41" s="305" t="s">
        <v>233</v>
      </c>
      <c r="D41" s="419">
        <v>78280.039999999994</v>
      </c>
      <c r="E41" s="426" t="s">
        <v>0</v>
      </c>
      <c r="F41" s="419">
        <v>100000</v>
      </c>
      <c r="G41" s="419">
        <v>100000</v>
      </c>
      <c r="H41" s="419">
        <v>100000</v>
      </c>
    </row>
    <row r="42" spans="1:8">
      <c r="A42" s="310" t="s">
        <v>50</v>
      </c>
      <c r="B42" s="311" t="s">
        <v>51</v>
      </c>
      <c r="C42" s="305" t="s">
        <v>233</v>
      </c>
      <c r="D42" s="419">
        <v>7307.75</v>
      </c>
      <c r="E42" s="426" t="s">
        <v>0</v>
      </c>
      <c r="F42" s="419">
        <v>30000</v>
      </c>
      <c r="G42" s="419">
        <v>30000</v>
      </c>
      <c r="H42" s="419">
        <v>30000</v>
      </c>
    </row>
    <row r="43" spans="1:8">
      <c r="A43" s="313">
        <v>3238</v>
      </c>
      <c r="B43" s="314" t="s">
        <v>51</v>
      </c>
      <c r="C43" s="305" t="s">
        <v>233</v>
      </c>
      <c r="D43" s="421">
        <v>2500</v>
      </c>
      <c r="E43" s="427" t="s">
        <v>272</v>
      </c>
      <c r="F43" s="421">
        <v>0</v>
      </c>
      <c r="G43" s="421">
        <v>0</v>
      </c>
      <c r="H43" s="421">
        <v>0</v>
      </c>
    </row>
    <row r="44" spans="1:8">
      <c r="A44" s="310" t="s">
        <v>52</v>
      </c>
      <c r="B44" s="311" t="s">
        <v>53</v>
      </c>
      <c r="C44" s="305" t="s">
        <v>233</v>
      </c>
      <c r="D44" s="419">
        <v>31092.5</v>
      </c>
      <c r="E44" s="426" t="s">
        <v>0</v>
      </c>
      <c r="F44" s="419">
        <v>60000</v>
      </c>
      <c r="G44" s="419">
        <v>60000</v>
      </c>
      <c r="H44" s="419">
        <v>57000</v>
      </c>
    </row>
    <row r="45" spans="1:8">
      <c r="A45" s="313">
        <v>3239</v>
      </c>
      <c r="B45" s="315" t="s">
        <v>53</v>
      </c>
      <c r="C45" s="305" t="s">
        <v>233</v>
      </c>
      <c r="D45" s="421">
        <v>5000</v>
      </c>
      <c r="E45" s="427" t="s">
        <v>272</v>
      </c>
      <c r="F45" s="421">
        <v>10000</v>
      </c>
      <c r="G45" s="421">
        <v>0</v>
      </c>
      <c r="H45" s="421">
        <v>0</v>
      </c>
    </row>
    <row r="46" spans="1:8">
      <c r="A46" s="303" t="s">
        <v>54</v>
      </c>
      <c r="B46" s="304" t="s">
        <v>55</v>
      </c>
      <c r="C46" s="305" t="s">
        <v>233</v>
      </c>
      <c r="D46" s="418">
        <f>D47</f>
        <v>26927.200000000001</v>
      </c>
      <c r="E46" s="430"/>
      <c r="F46" s="418">
        <f>F47</f>
        <v>35000</v>
      </c>
      <c r="G46" s="418">
        <f t="shared" ref="G46:H46" si="10">G47</f>
        <v>35000</v>
      </c>
      <c r="H46" s="418">
        <f t="shared" si="10"/>
        <v>32000</v>
      </c>
    </row>
    <row r="47" spans="1:8">
      <c r="A47" s="310">
        <v>3241</v>
      </c>
      <c r="B47" s="311" t="s">
        <v>55</v>
      </c>
      <c r="C47" s="443" t="s">
        <v>233</v>
      </c>
      <c r="D47" s="419">
        <v>26927.200000000001</v>
      </c>
      <c r="E47" s="426" t="s">
        <v>0</v>
      </c>
      <c r="F47" s="419">
        <v>35000</v>
      </c>
      <c r="G47" s="419">
        <v>35000</v>
      </c>
      <c r="H47" s="419">
        <v>32000</v>
      </c>
    </row>
    <row r="48" spans="1:8" s="100" customFormat="1">
      <c r="A48" s="445">
        <v>-329</v>
      </c>
      <c r="B48" s="446" t="s">
        <v>58</v>
      </c>
      <c r="C48" s="305" t="s">
        <v>233</v>
      </c>
      <c r="D48" s="441">
        <f>D49+D50+D51+D52+D53</f>
        <v>40052.75</v>
      </c>
      <c r="E48" s="442"/>
      <c r="F48" s="441">
        <f>F49+F50+F51+F52+F53</f>
        <v>97000</v>
      </c>
      <c r="G48" s="441">
        <f t="shared" ref="G48:H48" si="11">G49+G50+G51+G52+G53</f>
        <v>83000</v>
      </c>
      <c r="H48" s="441">
        <f t="shared" si="11"/>
        <v>81000</v>
      </c>
    </row>
    <row r="49" spans="1:8">
      <c r="A49" s="433">
        <v>3293</v>
      </c>
      <c r="B49" s="434" t="s">
        <v>64</v>
      </c>
      <c r="C49" s="435" t="s">
        <v>233</v>
      </c>
      <c r="D49" s="436">
        <v>25413.89</v>
      </c>
      <c r="E49" s="437" t="s">
        <v>0</v>
      </c>
      <c r="F49" s="436">
        <v>52000</v>
      </c>
      <c r="G49" s="436">
        <v>50000</v>
      </c>
      <c r="H49" s="436">
        <v>50000</v>
      </c>
    </row>
    <row r="50" spans="1:8">
      <c r="A50" s="313">
        <v>3293</v>
      </c>
      <c r="B50" s="314" t="s">
        <v>64</v>
      </c>
      <c r="C50" s="444" t="s">
        <v>233</v>
      </c>
      <c r="D50" s="421">
        <v>3595.12</v>
      </c>
      <c r="E50" s="427" t="s">
        <v>272</v>
      </c>
      <c r="F50" s="421">
        <v>10000</v>
      </c>
      <c r="G50" s="421">
        <v>0</v>
      </c>
      <c r="H50" s="421">
        <v>0</v>
      </c>
    </row>
    <row r="51" spans="1:8">
      <c r="A51" s="310">
        <v>3295</v>
      </c>
      <c r="B51" s="311" t="s">
        <v>68</v>
      </c>
      <c r="C51" s="443" t="s">
        <v>233</v>
      </c>
      <c r="D51" s="419">
        <v>1362.5</v>
      </c>
      <c r="E51" s="426" t="s">
        <v>0</v>
      </c>
      <c r="F51" s="419">
        <v>10000</v>
      </c>
      <c r="G51" s="419">
        <v>8000</v>
      </c>
      <c r="H51" s="419">
        <v>6000</v>
      </c>
    </row>
    <row r="52" spans="1:8">
      <c r="A52" s="313">
        <v>3295</v>
      </c>
      <c r="B52" s="314" t="s">
        <v>68</v>
      </c>
      <c r="C52" s="444" t="s">
        <v>233</v>
      </c>
      <c r="D52" s="421">
        <v>240</v>
      </c>
      <c r="E52" s="427" t="s">
        <v>272</v>
      </c>
      <c r="F52" s="421">
        <v>0</v>
      </c>
      <c r="G52" s="421">
        <v>0</v>
      </c>
      <c r="H52" s="421">
        <v>0</v>
      </c>
    </row>
    <row r="53" spans="1:8">
      <c r="A53" s="310">
        <v>3294</v>
      </c>
      <c r="B53" s="311" t="s">
        <v>66</v>
      </c>
      <c r="C53" s="443" t="s">
        <v>233</v>
      </c>
      <c r="D53" s="419">
        <v>9441.24</v>
      </c>
      <c r="E53" s="426" t="s">
        <v>0</v>
      </c>
      <c r="F53" s="419">
        <v>25000</v>
      </c>
      <c r="G53" s="419">
        <v>25000</v>
      </c>
      <c r="H53" s="419">
        <v>25000</v>
      </c>
    </row>
    <row r="54" spans="1:8" s="100" customFormat="1">
      <c r="A54" s="439" t="s">
        <v>70</v>
      </c>
      <c r="B54" s="440" t="s">
        <v>71</v>
      </c>
      <c r="C54" s="305" t="s">
        <v>233</v>
      </c>
      <c r="D54" s="441">
        <f t="shared" ref="D54" si="12">D55+D56+D57+D58+D59</f>
        <v>4970</v>
      </c>
      <c r="E54" s="442"/>
      <c r="F54" s="441">
        <f>F55+F56+F57+F58+F59</f>
        <v>3000</v>
      </c>
      <c r="G54" s="441">
        <f t="shared" ref="G54:H54" si="13">G55+G56+G57+G58+G59</f>
        <v>3000</v>
      </c>
      <c r="H54" s="441">
        <f t="shared" si="13"/>
        <v>3000</v>
      </c>
    </row>
    <row r="55" spans="1:8">
      <c r="A55" s="433" t="s">
        <v>72</v>
      </c>
      <c r="B55" s="434" t="s">
        <v>73</v>
      </c>
      <c r="C55" s="435" t="s">
        <v>233</v>
      </c>
      <c r="D55" s="420">
        <v>4170</v>
      </c>
      <c r="E55" s="438" t="s">
        <v>0</v>
      </c>
      <c r="F55" s="420">
        <v>2000</v>
      </c>
      <c r="G55" s="420">
        <v>2000</v>
      </c>
      <c r="H55" s="420">
        <v>2000</v>
      </c>
    </row>
    <row r="56" spans="1:8">
      <c r="A56" s="313">
        <v>3431</v>
      </c>
      <c r="B56" s="314" t="s">
        <v>73</v>
      </c>
      <c r="C56" s="444" t="s">
        <v>233</v>
      </c>
      <c r="D56" s="421">
        <v>300</v>
      </c>
      <c r="E56" s="427" t="s">
        <v>272</v>
      </c>
      <c r="F56" s="421">
        <v>0</v>
      </c>
      <c r="G56" s="421">
        <v>0</v>
      </c>
      <c r="H56" s="421">
        <v>0</v>
      </c>
    </row>
    <row r="57" spans="1:8">
      <c r="A57" s="310">
        <v>3432</v>
      </c>
      <c r="B57" s="311" t="s">
        <v>336</v>
      </c>
      <c r="C57" s="443" t="s">
        <v>233</v>
      </c>
      <c r="D57" s="419">
        <v>200</v>
      </c>
      <c r="E57" s="426" t="s">
        <v>0</v>
      </c>
      <c r="F57" s="419">
        <v>500</v>
      </c>
      <c r="G57" s="419">
        <v>500</v>
      </c>
      <c r="H57" s="419">
        <v>500</v>
      </c>
    </row>
    <row r="58" spans="1:8">
      <c r="A58" s="313">
        <v>3432</v>
      </c>
      <c r="B58" s="314" t="s">
        <v>336</v>
      </c>
      <c r="C58" s="444" t="s">
        <v>233</v>
      </c>
      <c r="D58" s="421">
        <v>200</v>
      </c>
      <c r="E58" s="427" t="s">
        <v>272</v>
      </c>
      <c r="F58" s="421">
        <v>0</v>
      </c>
      <c r="G58" s="421">
        <v>0</v>
      </c>
      <c r="H58" s="421">
        <v>0</v>
      </c>
    </row>
    <row r="59" spans="1:8">
      <c r="A59" s="310">
        <v>3433</v>
      </c>
      <c r="B59" s="311" t="s">
        <v>75</v>
      </c>
      <c r="C59" s="443" t="s">
        <v>233</v>
      </c>
      <c r="D59" s="419">
        <v>100</v>
      </c>
      <c r="E59" s="426" t="s">
        <v>0</v>
      </c>
      <c r="F59" s="419">
        <v>500</v>
      </c>
      <c r="G59" s="419">
        <v>500</v>
      </c>
      <c r="H59" s="419">
        <v>500</v>
      </c>
    </row>
    <row r="60" spans="1:8">
      <c r="A60" s="303" t="s">
        <v>83</v>
      </c>
      <c r="B60" s="304" t="s">
        <v>84</v>
      </c>
      <c r="C60" s="305" t="s">
        <v>233</v>
      </c>
      <c r="D60" s="422">
        <f t="shared" ref="D60" si="14">D61</f>
        <v>2000</v>
      </c>
      <c r="E60" s="431">
        <v>11</v>
      </c>
      <c r="F60" s="422">
        <f>F61</f>
        <v>13000</v>
      </c>
      <c r="G60" s="422">
        <f t="shared" ref="G60:H60" si="15">G61</f>
        <v>5000</v>
      </c>
      <c r="H60" s="422">
        <f t="shared" si="15"/>
        <v>3000</v>
      </c>
    </row>
    <row r="61" spans="1:8">
      <c r="A61" s="433" t="s">
        <v>85</v>
      </c>
      <c r="B61" s="434" t="s">
        <v>86</v>
      </c>
      <c r="C61" s="435" t="s">
        <v>233</v>
      </c>
      <c r="D61" s="420">
        <v>2000</v>
      </c>
      <c r="E61" s="438">
        <v>11</v>
      </c>
      <c r="F61" s="420">
        <v>13000</v>
      </c>
      <c r="G61" s="420">
        <v>5000</v>
      </c>
      <c r="H61" s="420">
        <v>3000</v>
      </c>
    </row>
    <row r="62" spans="1:8">
      <c r="A62" s="303" t="s">
        <v>88</v>
      </c>
      <c r="B62" s="304" t="s">
        <v>89</v>
      </c>
      <c r="C62" s="305" t="s">
        <v>233</v>
      </c>
      <c r="D62" s="422">
        <f t="shared" ref="D62" si="16">D63+D64</f>
        <v>32000</v>
      </c>
      <c r="E62" s="431">
        <v>11</v>
      </c>
      <c r="F62" s="422">
        <f>F63+F64</f>
        <v>10000</v>
      </c>
      <c r="G62" s="422">
        <f t="shared" ref="G62:H62" si="17">G63+G64</f>
        <v>9000</v>
      </c>
      <c r="H62" s="422">
        <f t="shared" si="17"/>
        <v>9000</v>
      </c>
    </row>
    <row r="63" spans="1:8">
      <c r="A63" s="433" t="s">
        <v>90</v>
      </c>
      <c r="B63" s="434" t="s">
        <v>91</v>
      </c>
      <c r="C63" s="435" t="s">
        <v>233</v>
      </c>
      <c r="D63" s="420">
        <v>12000</v>
      </c>
      <c r="E63" s="438" t="s">
        <v>0</v>
      </c>
      <c r="F63" s="420">
        <v>2000</v>
      </c>
      <c r="G63" s="420">
        <v>2000</v>
      </c>
      <c r="H63" s="420">
        <v>2000</v>
      </c>
    </row>
    <row r="64" spans="1:8">
      <c r="A64" s="310" t="s">
        <v>92</v>
      </c>
      <c r="B64" s="311" t="s">
        <v>93</v>
      </c>
      <c r="C64" s="305" t="s">
        <v>233</v>
      </c>
      <c r="D64" s="419">
        <v>20000</v>
      </c>
      <c r="E64" s="426" t="s">
        <v>0</v>
      </c>
      <c r="F64" s="419">
        <v>8000</v>
      </c>
      <c r="G64" s="419">
        <v>7000</v>
      </c>
      <c r="H64" s="419">
        <v>7000</v>
      </c>
    </row>
    <row r="171" ht="15" customHeight="1"/>
  </sheetData>
  <mergeCells count="3">
    <mergeCell ref="B2:C2"/>
    <mergeCell ref="A3:C8"/>
    <mergeCell ref="A9:H9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>
    <oddFooter>&amp;CHCZP&amp;R&amp;P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110" zoomScaleNormal="100" zoomScaleSheetLayoutView="110" workbookViewId="0">
      <pane ySplit="3" topLeftCell="A4" activePane="bottomLeft" state="frozen"/>
      <selection pane="bottomLeft" activeCell="G51" sqref="G51"/>
    </sheetView>
  </sheetViews>
  <sheetFormatPr defaultColWidth="17.5703125" defaultRowHeight="12"/>
  <cols>
    <col min="1" max="1" width="4.7109375" style="32" customWidth="1"/>
    <col min="2" max="2" width="10.7109375" style="32" customWidth="1"/>
    <col min="3" max="3" width="55.7109375" style="224" customWidth="1"/>
    <col min="4" max="4" width="2" style="226" hidden="1" customWidth="1"/>
    <col min="5" max="7" width="17.7109375" style="226" customWidth="1"/>
    <col min="8" max="243" width="46" style="226" customWidth="1"/>
    <col min="244" max="244" width="5.7109375" style="226" customWidth="1"/>
    <col min="245" max="245" width="11" style="226" customWidth="1"/>
    <col min="246" max="246" width="34.5703125" style="226" customWidth="1"/>
    <col min="247" max="248" width="17.5703125" style="226"/>
    <col min="249" max="249" width="5.140625" style="226" customWidth="1"/>
    <col min="250" max="250" width="10.42578125" style="226" customWidth="1"/>
    <col min="251" max="251" width="34.42578125" style="226" customWidth="1"/>
    <col min="252" max="252" width="0" style="226" hidden="1" customWidth="1"/>
    <col min="253" max="254" width="14.7109375" style="226" customWidth="1"/>
    <col min="255" max="255" width="0" style="226" hidden="1" customWidth="1"/>
    <col min="256" max="256" width="10.7109375" style="226" customWidth="1"/>
    <col min="257" max="257" width="14.7109375" style="226" customWidth="1"/>
    <col min="258" max="258" width="10.7109375" style="226" customWidth="1"/>
    <col min="259" max="259" width="14.7109375" style="226" customWidth="1"/>
    <col min="260" max="260" width="10.7109375" style="226" customWidth="1"/>
    <col min="261" max="499" width="46" style="226" customWidth="1"/>
    <col min="500" max="500" width="5.7109375" style="226" customWidth="1"/>
    <col min="501" max="501" width="11" style="226" customWidth="1"/>
    <col min="502" max="502" width="34.5703125" style="226" customWidth="1"/>
    <col min="503" max="504" width="17.5703125" style="226"/>
    <col min="505" max="505" width="5.140625" style="226" customWidth="1"/>
    <col min="506" max="506" width="10.42578125" style="226" customWidth="1"/>
    <col min="507" max="507" width="34.42578125" style="226" customWidth="1"/>
    <col min="508" max="508" width="0" style="226" hidden="1" customWidth="1"/>
    <col min="509" max="510" width="14.7109375" style="226" customWidth="1"/>
    <col min="511" max="511" width="0" style="226" hidden="1" customWidth="1"/>
    <col min="512" max="512" width="10.7109375" style="226" customWidth="1"/>
    <col min="513" max="513" width="14.7109375" style="226" customWidth="1"/>
    <col min="514" max="514" width="10.7109375" style="226" customWidth="1"/>
    <col min="515" max="515" width="14.7109375" style="226" customWidth="1"/>
    <col min="516" max="516" width="10.7109375" style="226" customWidth="1"/>
    <col min="517" max="755" width="46" style="226" customWidth="1"/>
    <col min="756" max="756" width="5.7109375" style="226" customWidth="1"/>
    <col min="757" max="757" width="11" style="226" customWidth="1"/>
    <col min="758" max="758" width="34.5703125" style="226" customWidth="1"/>
    <col min="759" max="760" width="17.5703125" style="226"/>
    <col min="761" max="761" width="5.140625" style="226" customWidth="1"/>
    <col min="762" max="762" width="10.42578125" style="226" customWidth="1"/>
    <col min="763" max="763" width="34.42578125" style="226" customWidth="1"/>
    <col min="764" max="764" width="0" style="226" hidden="1" customWidth="1"/>
    <col min="765" max="766" width="14.7109375" style="226" customWidth="1"/>
    <col min="767" max="767" width="0" style="226" hidden="1" customWidth="1"/>
    <col min="768" max="768" width="10.7109375" style="226" customWidth="1"/>
    <col min="769" max="769" width="14.7109375" style="226" customWidth="1"/>
    <col min="770" max="770" width="10.7109375" style="226" customWidth="1"/>
    <col min="771" max="771" width="14.7109375" style="226" customWidth="1"/>
    <col min="772" max="772" width="10.7109375" style="226" customWidth="1"/>
    <col min="773" max="1011" width="46" style="226" customWidth="1"/>
    <col min="1012" max="1012" width="5.7109375" style="226" customWidth="1"/>
    <col min="1013" max="1013" width="11" style="226" customWidth="1"/>
    <col min="1014" max="1014" width="34.5703125" style="226" customWidth="1"/>
    <col min="1015" max="1016" width="17.5703125" style="226"/>
    <col min="1017" max="1017" width="5.140625" style="226" customWidth="1"/>
    <col min="1018" max="1018" width="10.42578125" style="226" customWidth="1"/>
    <col min="1019" max="1019" width="34.42578125" style="226" customWidth="1"/>
    <col min="1020" max="1020" width="0" style="226" hidden="1" customWidth="1"/>
    <col min="1021" max="1022" width="14.7109375" style="226" customWidth="1"/>
    <col min="1023" max="1023" width="0" style="226" hidden="1" customWidth="1"/>
    <col min="1024" max="1024" width="10.7109375" style="226" customWidth="1"/>
    <col min="1025" max="1025" width="14.7109375" style="226" customWidth="1"/>
    <col min="1026" max="1026" width="10.7109375" style="226" customWidth="1"/>
    <col min="1027" max="1027" width="14.7109375" style="226" customWidth="1"/>
    <col min="1028" max="1028" width="10.7109375" style="226" customWidth="1"/>
    <col min="1029" max="1267" width="46" style="226" customWidth="1"/>
    <col min="1268" max="1268" width="5.7109375" style="226" customWidth="1"/>
    <col min="1269" max="1269" width="11" style="226" customWidth="1"/>
    <col min="1270" max="1270" width="34.5703125" style="226" customWidth="1"/>
    <col min="1271" max="1272" width="17.5703125" style="226"/>
    <col min="1273" max="1273" width="5.140625" style="226" customWidth="1"/>
    <col min="1274" max="1274" width="10.42578125" style="226" customWidth="1"/>
    <col min="1275" max="1275" width="34.42578125" style="226" customWidth="1"/>
    <col min="1276" max="1276" width="0" style="226" hidden="1" customWidth="1"/>
    <col min="1277" max="1278" width="14.7109375" style="226" customWidth="1"/>
    <col min="1279" max="1279" width="0" style="226" hidden="1" customWidth="1"/>
    <col min="1280" max="1280" width="10.7109375" style="226" customWidth="1"/>
    <col min="1281" max="1281" width="14.7109375" style="226" customWidth="1"/>
    <col min="1282" max="1282" width="10.7109375" style="226" customWidth="1"/>
    <col min="1283" max="1283" width="14.7109375" style="226" customWidth="1"/>
    <col min="1284" max="1284" width="10.7109375" style="226" customWidth="1"/>
    <col min="1285" max="1523" width="46" style="226" customWidth="1"/>
    <col min="1524" max="1524" width="5.7109375" style="226" customWidth="1"/>
    <col min="1525" max="1525" width="11" style="226" customWidth="1"/>
    <col min="1526" max="1526" width="34.5703125" style="226" customWidth="1"/>
    <col min="1527" max="1528" width="17.5703125" style="226"/>
    <col min="1529" max="1529" width="5.140625" style="226" customWidth="1"/>
    <col min="1530" max="1530" width="10.42578125" style="226" customWidth="1"/>
    <col min="1531" max="1531" width="34.42578125" style="226" customWidth="1"/>
    <col min="1532" max="1532" width="0" style="226" hidden="1" customWidth="1"/>
    <col min="1533" max="1534" width="14.7109375" style="226" customWidth="1"/>
    <col min="1535" max="1535" width="0" style="226" hidden="1" customWidth="1"/>
    <col min="1536" max="1536" width="10.7109375" style="226" customWidth="1"/>
    <col min="1537" max="1537" width="14.7109375" style="226" customWidth="1"/>
    <col min="1538" max="1538" width="10.7109375" style="226" customWidth="1"/>
    <col min="1539" max="1539" width="14.7109375" style="226" customWidth="1"/>
    <col min="1540" max="1540" width="10.7109375" style="226" customWidth="1"/>
    <col min="1541" max="1779" width="46" style="226" customWidth="1"/>
    <col min="1780" max="1780" width="5.7109375" style="226" customWidth="1"/>
    <col min="1781" max="1781" width="11" style="226" customWidth="1"/>
    <col min="1782" max="1782" width="34.5703125" style="226" customWidth="1"/>
    <col min="1783" max="1784" width="17.5703125" style="226"/>
    <col min="1785" max="1785" width="5.140625" style="226" customWidth="1"/>
    <col min="1786" max="1786" width="10.42578125" style="226" customWidth="1"/>
    <col min="1787" max="1787" width="34.42578125" style="226" customWidth="1"/>
    <col min="1788" max="1788" width="0" style="226" hidden="1" customWidth="1"/>
    <col min="1789" max="1790" width="14.7109375" style="226" customWidth="1"/>
    <col min="1791" max="1791" width="0" style="226" hidden="1" customWidth="1"/>
    <col min="1792" max="1792" width="10.7109375" style="226" customWidth="1"/>
    <col min="1793" max="1793" width="14.7109375" style="226" customWidth="1"/>
    <col min="1794" max="1794" width="10.7109375" style="226" customWidth="1"/>
    <col min="1795" max="1795" width="14.7109375" style="226" customWidth="1"/>
    <col min="1796" max="1796" width="10.7109375" style="226" customWidth="1"/>
    <col min="1797" max="2035" width="46" style="226" customWidth="1"/>
    <col min="2036" max="2036" width="5.7109375" style="226" customWidth="1"/>
    <col min="2037" max="2037" width="11" style="226" customWidth="1"/>
    <col min="2038" max="2038" width="34.5703125" style="226" customWidth="1"/>
    <col min="2039" max="2040" width="17.5703125" style="226"/>
    <col min="2041" max="2041" width="5.140625" style="226" customWidth="1"/>
    <col min="2042" max="2042" width="10.42578125" style="226" customWidth="1"/>
    <col min="2043" max="2043" width="34.42578125" style="226" customWidth="1"/>
    <col min="2044" max="2044" width="0" style="226" hidden="1" customWidth="1"/>
    <col min="2045" max="2046" width="14.7109375" style="226" customWidth="1"/>
    <col min="2047" max="2047" width="0" style="226" hidden="1" customWidth="1"/>
    <col min="2048" max="2048" width="10.7109375" style="226" customWidth="1"/>
    <col min="2049" max="2049" width="14.7109375" style="226" customWidth="1"/>
    <col min="2050" max="2050" width="10.7109375" style="226" customWidth="1"/>
    <col min="2051" max="2051" width="14.7109375" style="226" customWidth="1"/>
    <col min="2052" max="2052" width="10.7109375" style="226" customWidth="1"/>
    <col min="2053" max="2291" width="46" style="226" customWidth="1"/>
    <col min="2292" max="2292" width="5.7109375" style="226" customWidth="1"/>
    <col min="2293" max="2293" width="11" style="226" customWidth="1"/>
    <col min="2294" max="2294" width="34.5703125" style="226" customWidth="1"/>
    <col min="2295" max="2296" width="17.5703125" style="226"/>
    <col min="2297" max="2297" width="5.140625" style="226" customWidth="1"/>
    <col min="2298" max="2298" width="10.42578125" style="226" customWidth="1"/>
    <col min="2299" max="2299" width="34.42578125" style="226" customWidth="1"/>
    <col min="2300" max="2300" width="0" style="226" hidden="1" customWidth="1"/>
    <col min="2301" max="2302" width="14.7109375" style="226" customWidth="1"/>
    <col min="2303" max="2303" width="0" style="226" hidden="1" customWidth="1"/>
    <col min="2304" max="2304" width="10.7109375" style="226" customWidth="1"/>
    <col min="2305" max="2305" width="14.7109375" style="226" customWidth="1"/>
    <col min="2306" max="2306" width="10.7109375" style="226" customWidth="1"/>
    <col min="2307" max="2307" width="14.7109375" style="226" customWidth="1"/>
    <col min="2308" max="2308" width="10.7109375" style="226" customWidth="1"/>
    <col min="2309" max="2547" width="46" style="226" customWidth="1"/>
    <col min="2548" max="2548" width="5.7109375" style="226" customWidth="1"/>
    <col min="2549" max="2549" width="11" style="226" customWidth="1"/>
    <col min="2550" max="2550" width="34.5703125" style="226" customWidth="1"/>
    <col min="2551" max="2552" width="17.5703125" style="226"/>
    <col min="2553" max="2553" width="5.140625" style="226" customWidth="1"/>
    <col min="2554" max="2554" width="10.42578125" style="226" customWidth="1"/>
    <col min="2555" max="2555" width="34.42578125" style="226" customWidth="1"/>
    <col min="2556" max="2556" width="0" style="226" hidden="1" customWidth="1"/>
    <col min="2557" max="2558" width="14.7109375" style="226" customWidth="1"/>
    <col min="2559" max="2559" width="0" style="226" hidden="1" customWidth="1"/>
    <col min="2560" max="2560" width="10.7109375" style="226" customWidth="1"/>
    <col min="2561" max="2561" width="14.7109375" style="226" customWidth="1"/>
    <col min="2562" max="2562" width="10.7109375" style="226" customWidth="1"/>
    <col min="2563" max="2563" width="14.7109375" style="226" customWidth="1"/>
    <col min="2564" max="2564" width="10.7109375" style="226" customWidth="1"/>
    <col min="2565" max="2803" width="46" style="226" customWidth="1"/>
    <col min="2804" max="2804" width="5.7109375" style="226" customWidth="1"/>
    <col min="2805" max="2805" width="11" style="226" customWidth="1"/>
    <col min="2806" max="2806" width="34.5703125" style="226" customWidth="1"/>
    <col min="2807" max="2808" width="17.5703125" style="226"/>
    <col min="2809" max="2809" width="5.140625" style="226" customWidth="1"/>
    <col min="2810" max="2810" width="10.42578125" style="226" customWidth="1"/>
    <col min="2811" max="2811" width="34.42578125" style="226" customWidth="1"/>
    <col min="2812" max="2812" width="0" style="226" hidden="1" customWidth="1"/>
    <col min="2813" max="2814" width="14.7109375" style="226" customWidth="1"/>
    <col min="2815" max="2815" width="0" style="226" hidden="1" customWidth="1"/>
    <col min="2816" max="2816" width="10.7109375" style="226" customWidth="1"/>
    <col min="2817" max="2817" width="14.7109375" style="226" customWidth="1"/>
    <col min="2818" max="2818" width="10.7109375" style="226" customWidth="1"/>
    <col min="2819" max="2819" width="14.7109375" style="226" customWidth="1"/>
    <col min="2820" max="2820" width="10.7109375" style="226" customWidth="1"/>
    <col min="2821" max="3059" width="46" style="226" customWidth="1"/>
    <col min="3060" max="3060" width="5.7109375" style="226" customWidth="1"/>
    <col min="3061" max="3061" width="11" style="226" customWidth="1"/>
    <col min="3062" max="3062" width="34.5703125" style="226" customWidth="1"/>
    <col min="3063" max="3064" width="17.5703125" style="226"/>
    <col min="3065" max="3065" width="5.140625" style="226" customWidth="1"/>
    <col min="3066" max="3066" width="10.42578125" style="226" customWidth="1"/>
    <col min="3067" max="3067" width="34.42578125" style="226" customWidth="1"/>
    <col min="3068" max="3068" width="0" style="226" hidden="1" customWidth="1"/>
    <col min="3069" max="3070" width="14.7109375" style="226" customWidth="1"/>
    <col min="3071" max="3071" width="0" style="226" hidden="1" customWidth="1"/>
    <col min="3072" max="3072" width="10.7109375" style="226" customWidth="1"/>
    <col min="3073" max="3073" width="14.7109375" style="226" customWidth="1"/>
    <col min="3074" max="3074" width="10.7109375" style="226" customWidth="1"/>
    <col min="3075" max="3075" width="14.7109375" style="226" customWidth="1"/>
    <col min="3076" max="3076" width="10.7109375" style="226" customWidth="1"/>
    <col min="3077" max="3315" width="46" style="226" customWidth="1"/>
    <col min="3316" max="3316" width="5.7109375" style="226" customWidth="1"/>
    <col min="3317" max="3317" width="11" style="226" customWidth="1"/>
    <col min="3318" max="3318" width="34.5703125" style="226" customWidth="1"/>
    <col min="3319" max="3320" width="17.5703125" style="226"/>
    <col min="3321" max="3321" width="5.140625" style="226" customWidth="1"/>
    <col min="3322" max="3322" width="10.42578125" style="226" customWidth="1"/>
    <col min="3323" max="3323" width="34.42578125" style="226" customWidth="1"/>
    <col min="3324" max="3324" width="0" style="226" hidden="1" customWidth="1"/>
    <col min="3325" max="3326" width="14.7109375" style="226" customWidth="1"/>
    <col min="3327" max="3327" width="0" style="226" hidden="1" customWidth="1"/>
    <col min="3328" max="3328" width="10.7109375" style="226" customWidth="1"/>
    <col min="3329" max="3329" width="14.7109375" style="226" customWidth="1"/>
    <col min="3330" max="3330" width="10.7109375" style="226" customWidth="1"/>
    <col min="3331" max="3331" width="14.7109375" style="226" customWidth="1"/>
    <col min="3332" max="3332" width="10.7109375" style="226" customWidth="1"/>
    <col min="3333" max="3571" width="46" style="226" customWidth="1"/>
    <col min="3572" max="3572" width="5.7109375" style="226" customWidth="1"/>
    <col min="3573" max="3573" width="11" style="226" customWidth="1"/>
    <col min="3574" max="3574" width="34.5703125" style="226" customWidth="1"/>
    <col min="3575" max="3576" width="17.5703125" style="226"/>
    <col min="3577" max="3577" width="5.140625" style="226" customWidth="1"/>
    <col min="3578" max="3578" width="10.42578125" style="226" customWidth="1"/>
    <col min="3579" max="3579" width="34.42578125" style="226" customWidth="1"/>
    <col min="3580" max="3580" width="0" style="226" hidden="1" customWidth="1"/>
    <col min="3581" max="3582" width="14.7109375" style="226" customWidth="1"/>
    <col min="3583" max="3583" width="0" style="226" hidden="1" customWidth="1"/>
    <col min="3584" max="3584" width="10.7109375" style="226" customWidth="1"/>
    <col min="3585" max="3585" width="14.7109375" style="226" customWidth="1"/>
    <col min="3586" max="3586" width="10.7109375" style="226" customWidth="1"/>
    <col min="3587" max="3587" width="14.7109375" style="226" customWidth="1"/>
    <col min="3588" max="3588" width="10.7109375" style="226" customWidth="1"/>
    <col min="3589" max="3827" width="46" style="226" customWidth="1"/>
    <col min="3828" max="3828" width="5.7109375" style="226" customWidth="1"/>
    <col min="3829" max="3829" width="11" style="226" customWidth="1"/>
    <col min="3830" max="3830" width="34.5703125" style="226" customWidth="1"/>
    <col min="3831" max="3832" width="17.5703125" style="226"/>
    <col min="3833" max="3833" width="5.140625" style="226" customWidth="1"/>
    <col min="3834" max="3834" width="10.42578125" style="226" customWidth="1"/>
    <col min="3835" max="3835" width="34.42578125" style="226" customWidth="1"/>
    <col min="3836" max="3836" width="0" style="226" hidden="1" customWidth="1"/>
    <col min="3837" max="3838" width="14.7109375" style="226" customWidth="1"/>
    <col min="3839" max="3839" width="0" style="226" hidden="1" customWidth="1"/>
    <col min="3840" max="3840" width="10.7109375" style="226" customWidth="1"/>
    <col min="3841" max="3841" width="14.7109375" style="226" customWidth="1"/>
    <col min="3842" max="3842" width="10.7109375" style="226" customWidth="1"/>
    <col min="3843" max="3843" width="14.7109375" style="226" customWidth="1"/>
    <col min="3844" max="3844" width="10.7109375" style="226" customWidth="1"/>
    <col min="3845" max="4083" width="46" style="226" customWidth="1"/>
    <col min="4084" max="4084" width="5.7109375" style="226" customWidth="1"/>
    <col min="4085" max="4085" width="11" style="226" customWidth="1"/>
    <col min="4086" max="4086" width="34.5703125" style="226" customWidth="1"/>
    <col min="4087" max="4088" width="17.5703125" style="226"/>
    <col min="4089" max="4089" width="5.140625" style="226" customWidth="1"/>
    <col min="4090" max="4090" width="10.42578125" style="226" customWidth="1"/>
    <col min="4091" max="4091" width="34.42578125" style="226" customWidth="1"/>
    <col min="4092" max="4092" width="0" style="226" hidden="1" customWidth="1"/>
    <col min="4093" max="4094" width="14.7109375" style="226" customWidth="1"/>
    <col min="4095" max="4095" width="0" style="226" hidden="1" customWidth="1"/>
    <col min="4096" max="4096" width="10.7109375" style="226" customWidth="1"/>
    <col min="4097" max="4097" width="14.7109375" style="226" customWidth="1"/>
    <col min="4098" max="4098" width="10.7109375" style="226" customWidth="1"/>
    <col min="4099" max="4099" width="14.7109375" style="226" customWidth="1"/>
    <col min="4100" max="4100" width="10.7109375" style="226" customWidth="1"/>
    <col min="4101" max="4339" width="46" style="226" customWidth="1"/>
    <col min="4340" max="4340" width="5.7109375" style="226" customWidth="1"/>
    <col min="4341" max="4341" width="11" style="226" customWidth="1"/>
    <col min="4342" max="4342" width="34.5703125" style="226" customWidth="1"/>
    <col min="4343" max="4344" width="17.5703125" style="226"/>
    <col min="4345" max="4345" width="5.140625" style="226" customWidth="1"/>
    <col min="4346" max="4346" width="10.42578125" style="226" customWidth="1"/>
    <col min="4347" max="4347" width="34.42578125" style="226" customWidth="1"/>
    <col min="4348" max="4348" width="0" style="226" hidden="1" customWidth="1"/>
    <col min="4349" max="4350" width="14.7109375" style="226" customWidth="1"/>
    <col min="4351" max="4351" width="0" style="226" hidden="1" customWidth="1"/>
    <col min="4352" max="4352" width="10.7109375" style="226" customWidth="1"/>
    <col min="4353" max="4353" width="14.7109375" style="226" customWidth="1"/>
    <col min="4354" max="4354" width="10.7109375" style="226" customWidth="1"/>
    <col min="4355" max="4355" width="14.7109375" style="226" customWidth="1"/>
    <col min="4356" max="4356" width="10.7109375" style="226" customWidth="1"/>
    <col min="4357" max="4595" width="46" style="226" customWidth="1"/>
    <col min="4596" max="4596" width="5.7109375" style="226" customWidth="1"/>
    <col min="4597" max="4597" width="11" style="226" customWidth="1"/>
    <col min="4598" max="4598" width="34.5703125" style="226" customWidth="1"/>
    <col min="4599" max="4600" width="17.5703125" style="226"/>
    <col min="4601" max="4601" width="5.140625" style="226" customWidth="1"/>
    <col min="4602" max="4602" width="10.42578125" style="226" customWidth="1"/>
    <col min="4603" max="4603" width="34.42578125" style="226" customWidth="1"/>
    <col min="4604" max="4604" width="0" style="226" hidden="1" customWidth="1"/>
    <col min="4605" max="4606" width="14.7109375" style="226" customWidth="1"/>
    <col min="4607" max="4607" width="0" style="226" hidden="1" customWidth="1"/>
    <col min="4608" max="4608" width="10.7109375" style="226" customWidth="1"/>
    <col min="4609" max="4609" width="14.7109375" style="226" customWidth="1"/>
    <col min="4610" max="4610" width="10.7109375" style="226" customWidth="1"/>
    <col min="4611" max="4611" width="14.7109375" style="226" customWidth="1"/>
    <col min="4612" max="4612" width="10.7109375" style="226" customWidth="1"/>
    <col min="4613" max="4851" width="46" style="226" customWidth="1"/>
    <col min="4852" max="4852" width="5.7109375" style="226" customWidth="1"/>
    <col min="4853" max="4853" width="11" style="226" customWidth="1"/>
    <col min="4854" max="4854" width="34.5703125" style="226" customWidth="1"/>
    <col min="4855" max="4856" width="17.5703125" style="226"/>
    <col min="4857" max="4857" width="5.140625" style="226" customWidth="1"/>
    <col min="4858" max="4858" width="10.42578125" style="226" customWidth="1"/>
    <col min="4859" max="4859" width="34.42578125" style="226" customWidth="1"/>
    <col min="4860" max="4860" width="0" style="226" hidden="1" customWidth="1"/>
    <col min="4861" max="4862" width="14.7109375" style="226" customWidth="1"/>
    <col min="4863" max="4863" width="0" style="226" hidden="1" customWidth="1"/>
    <col min="4864" max="4864" width="10.7109375" style="226" customWidth="1"/>
    <col min="4865" max="4865" width="14.7109375" style="226" customWidth="1"/>
    <col min="4866" max="4866" width="10.7109375" style="226" customWidth="1"/>
    <col min="4867" max="4867" width="14.7109375" style="226" customWidth="1"/>
    <col min="4868" max="4868" width="10.7109375" style="226" customWidth="1"/>
    <col min="4869" max="5107" width="46" style="226" customWidth="1"/>
    <col min="5108" max="5108" width="5.7109375" style="226" customWidth="1"/>
    <col min="5109" max="5109" width="11" style="226" customWidth="1"/>
    <col min="5110" max="5110" width="34.5703125" style="226" customWidth="1"/>
    <col min="5111" max="5112" width="17.5703125" style="226"/>
    <col min="5113" max="5113" width="5.140625" style="226" customWidth="1"/>
    <col min="5114" max="5114" width="10.42578125" style="226" customWidth="1"/>
    <col min="5115" max="5115" width="34.42578125" style="226" customWidth="1"/>
    <col min="5116" max="5116" width="0" style="226" hidden="1" customWidth="1"/>
    <col min="5117" max="5118" width="14.7109375" style="226" customWidth="1"/>
    <col min="5119" max="5119" width="0" style="226" hidden="1" customWidth="1"/>
    <col min="5120" max="5120" width="10.7109375" style="226" customWidth="1"/>
    <col min="5121" max="5121" width="14.7109375" style="226" customWidth="1"/>
    <col min="5122" max="5122" width="10.7109375" style="226" customWidth="1"/>
    <col min="5123" max="5123" width="14.7109375" style="226" customWidth="1"/>
    <col min="5124" max="5124" width="10.7109375" style="226" customWidth="1"/>
    <col min="5125" max="5363" width="46" style="226" customWidth="1"/>
    <col min="5364" max="5364" width="5.7109375" style="226" customWidth="1"/>
    <col min="5365" max="5365" width="11" style="226" customWidth="1"/>
    <col min="5366" max="5366" width="34.5703125" style="226" customWidth="1"/>
    <col min="5367" max="5368" width="17.5703125" style="226"/>
    <col min="5369" max="5369" width="5.140625" style="226" customWidth="1"/>
    <col min="5370" max="5370" width="10.42578125" style="226" customWidth="1"/>
    <col min="5371" max="5371" width="34.42578125" style="226" customWidth="1"/>
    <col min="5372" max="5372" width="0" style="226" hidden="1" customWidth="1"/>
    <col min="5373" max="5374" width="14.7109375" style="226" customWidth="1"/>
    <col min="5375" max="5375" width="0" style="226" hidden="1" customWidth="1"/>
    <col min="5376" max="5376" width="10.7109375" style="226" customWidth="1"/>
    <col min="5377" max="5377" width="14.7109375" style="226" customWidth="1"/>
    <col min="5378" max="5378" width="10.7109375" style="226" customWidth="1"/>
    <col min="5379" max="5379" width="14.7109375" style="226" customWidth="1"/>
    <col min="5380" max="5380" width="10.7109375" style="226" customWidth="1"/>
    <col min="5381" max="5619" width="46" style="226" customWidth="1"/>
    <col min="5620" max="5620" width="5.7109375" style="226" customWidth="1"/>
    <col min="5621" max="5621" width="11" style="226" customWidth="1"/>
    <col min="5622" max="5622" width="34.5703125" style="226" customWidth="1"/>
    <col min="5623" max="5624" width="17.5703125" style="226"/>
    <col min="5625" max="5625" width="5.140625" style="226" customWidth="1"/>
    <col min="5626" max="5626" width="10.42578125" style="226" customWidth="1"/>
    <col min="5627" max="5627" width="34.42578125" style="226" customWidth="1"/>
    <col min="5628" max="5628" width="0" style="226" hidden="1" customWidth="1"/>
    <col min="5629" max="5630" width="14.7109375" style="226" customWidth="1"/>
    <col min="5631" max="5631" width="0" style="226" hidden="1" customWidth="1"/>
    <col min="5632" max="5632" width="10.7109375" style="226" customWidth="1"/>
    <col min="5633" max="5633" width="14.7109375" style="226" customWidth="1"/>
    <col min="5634" max="5634" width="10.7109375" style="226" customWidth="1"/>
    <col min="5635" max="5635" width="14.7109375" style="226" customWidth="1"/>
    <col min="5636" max="5636" width="10.7109375" style="226" customWidth="1"/>
    <col min="5637" max="5875" width="46" style="226" customWidth="1"/>
    <col min="5876" max="5876" width="5.7109375" style="226" customWidth="1"/>
    <col min="5877" max="5877" width="11" style="226" customWidth="1"/>
    <col min="5878" max="5878" width="34.5703125" style="226" customWidth="1"/>
    <col min="5879" max="5880" width="17.5703125" style="226"/>
    <col min="5881" max="5881" width="5.140625" style="226" customWidth="1"/>
    <col min="5882" max="5882" width="10.42578125" style="226" customWidth="1"/>
    <col min="5883" max="5883" width="34.42578125" style="226" customWidth="1"/>
    <col min="5884" max="5884" width="0" style="226" hidden="1" customWidth="1"/>
    <col min="5885" max="5886" width="14.7109375" style="226" customWidth="1"/>
    <col min="5887" max="5887" width="0" style="226" hidden="1" customWidth="1"/>
    <col min="5888" max="5888" width="10.7109375" style="226" customWidth="1"/>
    <col min="5889" max="5889" width="14.7109375" style="226" customWidth="1"/>
    <col min="5890" max="5890" width="10.7109375" style="226" customWidth="1"/>
    <col min="5891" max="5891" width="14.7109375" style="226" customWidth="1"/>
    <col min="5892" max="5892" width="10.7109375" style="226" customWidth="1"/>
    <col min="5893" max="6131" width="46" style="226" customWidth="1"/>
    <col min="6132" max="6132" width="5.7109375" style="226" customWidth="1"/>
    <col min="6133" max="6133" width="11" style="226" customWidth="1"/>
    <col min="6134" max="6134" width="34.5703125" style="226" customWidth="1"/>
    <col min="6135" max="6136" width="17.5703125" style="226"/>
    <col min="6137" max="6137" width="5.140625" style="226" customWidth="1"/>
    <col min="6138" max="6138" width="10.42578125" style="226" customWidth="1"/>
    <col min="6139" max="6139" width="34.42578125" style="226" customWidth="1"/>
    <col min="6140" max="6140" width="0" style="226" hidden="1" customWidth="1"/>
    <col min="6141" max="6142" width="14.7109375" style="226" customWidth="1"/>
    <col min="6143" max="6143" width="0" style="226" hidden="1" customWidth="1"/>
    <col min="6144" max="6144" width="10.7109375" style="226" customWidth="1"/>
    <col min="6145" max="6145" width="14.7109375" style="226" customWidth="1"/>
    <col min="6146" max="6146" width="10.7109375" style="226" customWidth="1"/>
    <col min="6147" max="6147" width="14.7109375" style="226" customWidth="1"/>
    <col min="6148" max="6148" width="10.7109375" style="226" customWidth="1"/>
    <col min="6149" max="6387" width="46" style="226" customWidth="1"/>
    <col min="6388" max="6388" width="5.7109375" style="226" customWidth="1"/>
    <col min="6389" max="6389" width="11" style="226" customWidth="1"/>
    <col min="6390" max="6390" width="34.5703125" style="226" customWidth="1"/>
    <col min="6391" max="6392" width="17.5703125" style="226"/>
    <col min="6393" max="6393" width="5.140625" style="226" customWidth="1"/>
    <col min="6394" max="6394" width="10.42578125" style="226" customWidth="1"/>
    <col min="6395" max="6395" width="34.42578125" style="226" customWidth="1"/>
    <col min="6396" max="6396" width="0" style="226" hidden="1" customWidth="1"/>
    <col min="6397" max="6398" width="14.7109375" style="226" customWidth="1"/>
    <col min="6399" max="6399" width="0" style="226" hidden="1" customWidth="1"/>
    <col min="6400" max="6400" width="10.7109375" style="226" customWidth="1"/>
    <col min="6401" max="6401" width="14.7109375" style="226" customWidth="1"/>
    <col min="6402" max="6402" width="10.7109375" style="226" customWidth="1"/>
    <col min="6403" max="6403" width="14.7109375" style="226" customWidth="1"/>
    <col min="6404" max="6404" width="10.7109375" style="226" customWidth="1"/>
    <col min="6405" max="6643" width="46" style="226" customWidth="1"/>
    <col min="6644" max="6644" width="5.7109375" style="226" customWidth="1"/>
    <col min="6645" max="6645" width="11" style="226" customWidth="1"/>
    <col min="6646" max="6646" width="34.5703125" style="226" customWidth="1"/>
    <col min="6647" max="6648" width="17.5703125" style="226"/>
    <col min="6649" max="6649" width="5.140625" style="226" customWidth="1"/>
    <col min="6650" max="6650" width="10.42578125" style="226" customWidth="1"/>
    <col min="6651" max="6651" width="34.42578125" style="226" customWidth="1"/>
    <col min="6652" max="6652" width="0" style="226" hidden="1" customWidth="1"/>
    <col min="6653" max="6654" width="14.7109375" style="226" customWidth="1"/>
    <col min="6655" max="6655" width="0" style="226" hidden="1" customWidth="1"/>
    <col min="6656" max="6656" width="10.7109375" style="226" customWidth="1"/>
    <col min="6657" max="6657" width="14.7109375" style="226" customWidth="1"/>
    <col min="6658" max="6658" width="10.7109375" style="226" customWidth="1"/>
    <col min="6659" max="6659" width="14.7109375" style="226" customWidth="1"/>
    <col min="6660" max="6660" width="10.7109375" style="226" customWidth="1"/>
    <col min="6661" max="6899" width="46" style="226" customWidth="1"/>
    <col min="6900" max="6900" width="5.7109375" style="226" customWidth="1"/>
    <col min="6901" max="6901" width="11" style="226" customWidth="1"/>
    <col min="6902" max="6902" width="34.5703125" style="226" customWidth="1"/>
    <col min="6903" max="6904" width="17.5703125" style="226"/>
    <col min="6905" max="6905" width="5.140625" style="226" customWidth="1"/>
    <col min="6906" max="6906" width="10.42578125" style="226" customWidth="1"/>
    <col min="6907" max="6907" width="34.42578125" style="226" customWidth="1"/>
    <col min="6908" max="6908" width="0" style="226" hidden="1" customWidth="1"/>
    <col min="6909" max="6910" width="14.7109375" style="226" customWidth="1"/>
    <col min="6911" max="6911" width="0" style="226" hidden="1" customWidth="1"/>
    <col min="6912" max="6912" width="10.7109375" style="226" customWidth="1"/>
    <col min="6913" max="6913" width="14.7109375" style="226" customWidth="1"/>
    <col min="6914" max="6914" width="10.7109375" style="226" customWidth="1"/>
    <col min="6915" max="6915" width="14.7109375" style="226" customWidth="1"/>
    <col min="6916" max="6916" width="10.7109375" style="226" customWidth="1"/>
    <col min="6917" max="7155" width="46" style="226" customWidth="1"/>
    <col min="7156" max="7156" width="5.7109375" style="226" customWidth="1"/>
    <col min="7157" max="7157" width="11" style="226" customWidth="1"/>
    <col min="7158" max="7158" width="34.5703125" style="226" customWidth="1"/>
    <col min="7159" max="7160" width="17.5703125" style="226"/>
    <col min="7161" max="7161" width="5.140625" style="226" customWidth="1"/>
    <col min="7162" max="7162" width="10.42578125" style="226" customWidth="1"/>
    <col min="7163" max="7163" width="34.42578125" style="226" customWidth="1"/>
    <col min="7164" max="7164" width="0" style="226" hidden="1" customWidth="1"/>
    <col min="7165" max="7166" width="14.7109375" style="226" customWidth="1"/>
    <col min="7167" max="7167" width="0" style="226" hidden="1" customWidth="1"/>
    <col min="7168" max="7168" width="10.7109375" style="226" customWidth="1"/>
    <col min="7169" max="7169" width="14.7109375" style="226" customWidth="1"/>
    <col min="7170" max="7170" width="10.7109375" style="226" customWidth="1"/>
    <col min="7171" max="7171" width="14.7109375" style="226" customWidth="1"/>
    <col min="7172" max="7172" width="10.7109375" style="226" customWidth="1"/>
    <col min="7173" max="7411" width="46" style="226" customWidth="1"/>
    <col min="7412" max="7412" width="5.7109375" style="226" customWidth="1"/>
    <col min="7413" max="7413" width="11" style="226" customWidth="1"/>
    <col min="7414" max="7414" width="34.5703125" style="226" customWidth="1"/>
    <col min="7415" max="7416" width="17.5703125" style="226"/>
    <col min="7417" max="7417" width="5.140625" style="226" customWidth="1"/>
    <col min="7418" max="7418" width="10.42578125" style="226" customWidth="1"/>
    <col min="7419" max="7419" width="34.42578125" style="226" customWidth="1"/>
    <col min="7420" max="7420" width="0" style="226" hidden="1" customWidth="1"/>
    <col min="7421" max="7422" width="14.7109375" style="226" customWidth="1"/>
    <col min="7423" max="7423" width="0" style="226" hidden="1" customWidth="1"/>
    <col min="7424" max="7424" width="10.7109375" style="226" customWidth="1"/>
    <col min="7425" max="7425" width="14.7109375" style="226" customWidth="1"/>
    <col min="7426" max="7426" width="10.7109375" style="226" customWidth="1"/>
    <col min="7427" max="7427" width="14.7109375" style="226" customWidth="1"/>
    <col min="7428" max="7428" width="10.7109375" style="226" customWidth="1"/>
    <col min="7429" max="7667" width="46" style="226" customWidth="1"/>
    <col min="7668" max="7668" width="5.7109375" style="226" customWidth="1"/>
    <col min="7669" max="7669" width="11" style="226" customWidth="1"/>
    <col min="7670" max="7670" width="34.5703125" style="226" customWidth="1"/>
    <col min="7671" max="7672" width="17.5703125" style="226"/>
    <col min="7673" max="7673" width="5.140625" style="226" customWidth="1"/>
    <col min="7674" max="7674" width="10.42578125" style="226" customWidth="1"/>
    <col min="7675" max="7675" width="34.42578125" style="226" customWidth="1"/>
    <col min="7676" max="7676" width="0" style="226" hidden="1" customWidth="1"/>
    <col min="7677" max="7678" width="14.7109375" style="226" customWidth="1"/>
    <col min="7679" max="7679" width="0" style="226" hidden="1" customWidth="1"/>
    <col min="7680" max="7680" width="10.7109375" style="226" customWidth="1"/>
    <col min="7681" max="7681" width="14.7109375" style="226" customWidth="1"/>
    <col min="7682" max="7682" width="10.7109375" style="226" customWidth="1"/>
    <col min="7683" max="7683" width="14.7109375" style="226" customWidth="1"/>
    <col min="7684" max="7684" width="10.7109375" style="226" customWidth="1"/>
    <col min="7685" max="7923" width="46" style="226" customWidth="1"/>
    <col min="7924" max="7924" width="5.7109375" style="226" customWidth="1"/>
    <col min="7925" max="7925" width="11" style="226" customWidth="1"/>
    <col min="7926" max="7926" width="34.5703125" style="226" customWidth="1"/>
    <col min="7927" max="7928" width="17.5703125" style="226"/>
    <col min="7929" max="7929" width="5.140625" style="226" customWidth="1"/>
    <col min="7930" max="7930" width="10.42578125" style="226" customWidth="1"/>
    <col min="7931" max="7931" width="34.42578125" style="226" customWidth="1"/>
    <col min="7932" max="7932" width="0" style="226" hidden="1" customWidth="1"/>
    <col min="7933" max="7934" width="14.7109375" style="226" customWidth="1"/>
    <col min="7935" max="7935" width="0" style="226" hidden="1" customWidth="1"/>
    <col min="7936" max="7936" width="10.7109375" style="226" customWidth="1"/>
    <col min="7937" max="7937" width="14.7109375" style="226" customWidth="1"/>
    <col min="7938" max="7938" width="10.7109375" style="226" customWidth="1"/>
    <col min="7939" max="7939" width="14.7109375" style="226" customWidth="1"/>
    <col min="7940" max="7940" width="10.7109375" style="226" customWidth="1"/>
    <col min="7941" max="8179" width="46" style="226" customWidth="1"/>
    <col min="8180" max="8180" width="5.7109375" style="226" customWidth="1"/>
    <col min="8181" max="8181" width="11" style="226" customWidth="1"/>
    <col min="8182" max="8182" width="34.5703125" style="226" customWidth="1"/>
    <col min="8183" max="8184" width="17.5703125" style="226"/>
    <col min="8185" max="8185" width="5.140625" style="226" customWidth="1"/>
    <col min="8186" max="8186" width="10.42578125" style="226" customWidth="1"/>
    <col min="8187" max="8187" width="34.42578125" style="226" customWidth="1"/>
    <col min="8188" max="8188" width="0" style="226" hidden="1" customWidth="1"/>
    <col min="8189" max="8190" width="14.7109375" style="226" customWidth="1"/>
    <col min="8191" max="8191" width="0" style="226" hidden="1" customWidth="1"/>
    <col min="8192" max="8192" width="10.7109375" style="226" customWidth="1"/>
    <col min="8193" max="8193" width="14.7109375" style="226" customWidth="1"/>
    <col min="8194" max="8194" width="10.7109375" style="226" customWidth="1"/>
    <col min="8195" max="8195" width="14.7109375" style="226" customWidth="1"/>
    <col min="8196" max="8196" width="10.7109375" style="226" customWidth="1"/>
    <col min="8197" max="8435" width="46" style="226" customWidth="1"/>
    <col min="8436" max="8436" width="5.7109375" style="226" customWidth="1"/>
    <col min="8437" max="8437" width="11" style="226" customWidth="1"/>
    <col min="8438" max="8438" width="34.5703125" style="226" customWidth="1"/>
    <col min="8439" max="8440" width="17.5703125" style="226"/>
    <col min="8441" max="8441" width="5.140625" style="226" customWidth="1"/>
    <col min="8442" max="8442" width="10.42578125" style="226" customWidth="1"/>
    <col min="8443" max="8443" width="34.42578125" style="226" customWidth="1"/>
    <col min="8444" max="8444" width="0" style="226" hidden="1" customWidth="1"/>
    <col min="8445" max="8446" width="14.7109375" style="226" customWidth="1"/>
    <col min="8447" max="8447" width="0" style="226" hidden="1" customWidth="1"/>
    <col min="8448" max="8448" width="10.7109375" style="226" customWidth="1"/>
    <col min="8449" max="8449" width="14.7109375" style="226" customWidth="1"/>
    <col min="8450" max="8450" width="10.7109375" style="226" customWidth="1"/>
    <col min="8451" max="8451" width="14.7109375" style="226" customWidth="1"/>
    <col min="8452" max="8452" width="10.7109375" style="226" customWidth="1"/>
    <col min="8453" max="8691" width="46" style="226" customWidth="1"/>
    <col min="8692" max="8692" width="5.7109375" style="226" customWidth="1"/>
    <col min="8693" max="8693" width="11" style="226" customWidth="1"/>
    <col min="8694" max="8694" width="34.5703125" style="226" customWidth="1"/>
    <col min="8695" max="8696" width="17.5703125" style="226"/>
    <col min="8697" max="8697" width="5.140625" style="226" customWidth="1"/>
    <col min="8698" max="8698" width="10.42578125" style="226" customWidth="1"/>
    <col min="8699" max="8699" width="34.42578125" style="226" customWidth="1"/>
    <col min="8700" max="8700" width="0" style="226" hidden="1" customWidth="1"/>
    <col min="8701" max="8702" width="14.7109375" style="226" customWidth="1"/>
    <col min="8703" max="8703" width="0" style="226" hidden="1" customWidth="1"/>
    <col min="8704" max="8704" width="10.7109375" style="226" customWidth="1"/>
    <col min="8705" max="8705" width="14.7109375" style="226" customWidth="1"/>
    <col min="8706" max="8706" width="10.7109375" style="226" customWidth="1"/>
    <col min="8707" max="8707" width="14.7109375" style="226" customWidth="1"/>
    <col min="8708" max="8708" width="10.7109375" style="226" customWidth="1"/>
    <col min="8709" max="8947" width="46" style="226" customWidth="1"/>
    <col min="8948" max="8948" width="5.7109375" style="226" customWidth="1"/>
    <col min="8949" max="8949" width="11" style="226" customWidth="1"/>
    <col min="8950" max="8950" width="34.5703125" style="226" customWidth="1"/>
    <col min="8951" max="8952" width="17.5703125" style="226"/>
    <col min="8953" max="8953" width="5.140625" style="226" customWidth="1"/>
    <col min="8954" max="8954" width="10.42578125" style="226" customWidth="1"/>
    <col min="8955" max="8955" width="34.42578125" style="226" customWidth="1"/>
    <col min="8956" max="8956" width="0" style="226" hidden="1" customWidth="1"/>
    <col min="8957" max="8958" width="14.7109375" style="226" customWidth="1"/>
    <col min="8959" max="8959" width="0" style="226" hidden="1" customWidth="1"/>
    <col min="8960" max="8960" width="10.7109375" style="226" customWidth="1"/>
    <col min="8961" max="8961" width="14.7109375" style="226" customWidth="1"/>
    <col min="8962" max="8962" width="10.7109375" style="226" customWidth="1"/>
    <col min="8963" max="8963" width="14.7109375" style="226" customWidth="1"/>
    <col min="8964" max="8964" width="10.7109375" style="226" customWidth="1"/>
    <col min="8965" max="9203" width="46" style="226" customWidth="1"/>
    <col min="9204" max="9204" width="5.7109375" style="226" customWidth="1"/>
    <col min="9205" max="9205" width="11" style="226" customWidth="1"/>
    <col min="9206" max="9206" width="34.5703125" style="226" customWidth="1"/>
    <col min="9207" max="9208" width="17.5703125" style="226"/>
    <col min="9209" max="9209" width="5.140625" style="226" customWidth="1"/>
    <col min="9210" max="9210" width="10.42578125" style="226" customWidth="1"/>
    <col min="9211" max="9211" width="34.42578125" style="226" customWidth="1"/>
    <col min="9212" max="9212" width="0" style="226" hidden="1" customWidth="1"/>
    <col min="9213" max="9214" width="14.7109375" style="226" customWidth="1"/>
    <col min="9215" max="9215" width="0" style="226" hidden="1" customWidth="1"/>
    <col min="9216" max="9216" width="10.7109375" style="226" customWidth="1"/>
    <col min="9217" max="9217" width="14.7109375" style="226" customWidth="1"/>
    <col min="9218" max="9218" width="10.7109375" style="226" customWidth="1"/>
    <col min="9219" max="9219" width="14.7109375" style="226" customWidth="1"/>
    <col min="9220" max="9220" width="10.7109375" style="226" customWidth="1"/>
    <col min="9221" max="9459" width="46" style="226" customWidth="1"/>
    <col min="9460" max="9460" width="5.7109375" style="226" customWidth="1"/>
    <col min="9461" max="9461" width="11" style="226" customWidth="1"/>
    <col min="9462" max="9462" width="34.5703125" style="226" customWidth="1"/>
    <col min="9463" max="9464" width="17.5703125" style="226"/>
    <col min="9465" max="9465" width="5.140625" style="226" customWidth="1"/>
    <col min="9466" max="9466" width="10.42578125" style="226" customWidth="1"/>
    <col min="9467" max="9467" width="34.42578125" style="226" customWidth="1"/>
    <col min="9468" max="9468" width="0" style="226" hidden="1" customWidth="1"/>
    <col min="9469" max="9470" width="14.7109375" style="226" customWidth="1"/>
    <col min="9471" max="9471" width="0" style="226" hidden="1" customWidth="1"/>
    <col min="9472" max="9472" width="10.7109375" style="226" customWidth="1"/>
    <col min="9473" max="9473" width="14.7109375" style="226" customWidth="1"/>
    <col min="9474" max="9474" width="10.7109375" style="226" customWidth="1"/>
    <col min="9475" max="9475" width="14.7109375" style="226" customWidth="1"/>
    <col min="9476" max="9476" width="10.7109375" style="226" customWidth="1"/>
    <col min="9477" max="9715" width="46" style="226" customWidth="1"/>
    <col min="9716" max="9716" width="5.7109375" style="226" customWidth="1"/>
    <col min="9717" max="9717" width="11" style="226" customWidth="1"/>
    <col min="9718" max="9718" width="34.5703125" style="226" customWidth="1"/>
    <col min="9719" max="9720" width="17.5703125" style="226"/>
    <col min="9721" max="9721" width="5.140625" style="226" customWidth="1"/>
    <col min="9722" max="9722" width="10.42578125" style="226" customWidth="1"/>
    <col min="9723" max="9723" width="34.42578125" style="226" customWidth="1"/>
    <col min="9724" max="9724" width="0" style="226" hidden="1" customWidth="1"/>
    <col min="9725" max="9726" width="14.7109375" style="226" customWidth="1"/>
    <col min="9727" max="9727" width="0" style="226" hidden="1" customWidth="1"/>
    <col min="9728" max="9728" width="10.7109375" style="226" customWidth="1"/>
    <col min="9729" max="9729" width="14.7109375" style="226" customWidth="1"/>
    <col min="9730" max="9730" width="10.7109375" style="226" customWidth="1"/>
    <col min="9731" max="9731" width="14.7109375" style="226" customWidth="1"/>
    <col min="9732" max="9732" width="10.7109375" style="226" customWidth="1"/>
    <col min="9733" max="9971" width="46" style="226" customWidth="1"/>
    <col min="9972" max="9972" width="5.7109375" style="226" customWidth="1"/>
    <col min="9973" max="9973" width="11" style="226" customWidth="1"/>
    <col min="9974" max="9974" width="34.5703125" style="226" customWidth="1"/>
    <col min="9975" max="9976" width="17.5703125" style="226"/>
    <col min="9977" max="9977" width="5.140625" style="226" customWidth="1"/>
    <col min="9978" max="9978" width="10.42578125" style="226" customWidth="1"/>
    <col min="9979" max="9979" width="34.42578125" style="226" customWidth="1"/>
    <col min="9980" max="9980" width="0" style="226" hidden="1" customWidth="1"/>
    <col min="9981" max="9982" width="14.7109375" style="226" customWidth="1"/>
    <col min="9983" max="9983" width="0" style="226" hidden="1" customWidth="1"/>
    <col min="9984" max="9984" width="10.7109375" style="226" customWidth="1"/>
    <col min="9985" max="9985" width="14.7109375" style="226" customWidth="1"/>
    <col min="9986" max="9986" width="10.7109375" style="226" customWidth="1"/>
    <col min="9987" max="9987" width="14.7109375" style="226" customWidth="1"/>
    <col min="9988" max="9988" width="10.7109375" style="226" customWidth="1"/>
    <col min="9989" max="10227" width="46" style="226" customWidth="1"/>
    <col min="10228" max="10228" width="5.7109375" style="226" customWidth="1"/>
    <col min="10229" max="10229" width="11" style="226" customWidth="1"/>
    <col min="10230" max="10230" width="34.5703125" style="226" customWidth="1"/>
    <col min="10231" max="10232" width="17.5703125" style="226"/>
    <col min="10233" max="10233" width="5.140625" style="226" customWidth="1"/>
    <col min="10234" max="10234" width="10.42578125" style="226" customWidth="1"/>
    <col min="10235" max="10235" width="34.42578125" style="226" customWidth="1"/>
    <col min="10236" max="10236" width="0" style="226" hidden="1" customWidth="1"/>
    <col min="10237" max="10238" width="14.7109375" style="226" customWidth="1"/>
    <col min="10239" max="10239" width="0" style="226" hidden="1" customWidth="1"/>
    <col min="10240" max="10240" width="10.7109375" style="226" customWidth="1"/>
    <col min="10241" max="10241" width="14.7109375" style="226" customWidth="1"/>
    <col min="10242" max="10242" width="10.7109375" style="226" customWidth="1"/>
    <col min="10243" max="10243" width="14.7109375" style="226" customWidth="1"/>
    <col min="10244" max="10244" width="10.7109375" style="226" customWidth="1"/>
    <col min="10245" max="10483" width="46" style="226" customWidth="1"/>
    <col min="10484" max="10484" width="5.7109375" style="226" customWidth="1"/>
    <col min="10485" max="10485" width="11" style="226" customWidth="1"/>
    <col min="10486" max="10486" width="34.5703125" style="226" customWidth="1"/>
    <col min="10487" max="10488" width="17.5703125" style="226"/>
    <col min="10489" max="10489" width="5.140625" style="226" customWidth="1"/>
    <col min="10490" max="10490" width="10.42578125" style="226" customWidth="1"/>
    <col min="10491" max="10491" width="34.42578125" style="226" customWidth="1"/>
    <col min="10492" max="10492" width="0" style="226" hidden="1" customWidth="1"/>
    <col min="10493" max="10494" width="14.7109375" style="226" customWidth="1"/>
    <col min="10495" max="10495" width="0" style="226" hidden="1" customWidth="1"/>
    <col min="10496" max="10496" width="10.7109375" style="226" customWidth="1"/>
    <col min="10497" max="10497" width="14.7109375" style="226" customWidth="1"/>
    <col min="10498" max="10498" width="10.7109375" style="226" customWidth="1"/>
    <col min="10499" max="10499" width="14.7109375" style="226" customWidth="1"/>
    <col min="10500" max="10500" width="10.7109375" style="226" customWidth="1"/>
    <col min="10501" max="10739" width="46" style="226" customWidth="1"/>
    <col min="10740" max="10740" width="5.7109375" style="226" customWidth="1"/>
    <col min="10741" max="10741" width="11" style="226" customWidth="1"/>
    <col min="10742" max="10742" width="34.5703125" style="226" customWidth="1"/>
    <col min="10743" max="10744" width="17.5703125" style="226"/>
    <col min="10745" max="10745" width="5.140625" style="226" customWidth="1"/>
    <col min="10746" max="10746" width="10.42578125" style="226" customWidth="1"/>
    <col min="10747" max="10747" width="34.42578125" style="226" customWidth="1"/>
    <col min="10748" max="10748" width="0" style="226" hidden="1" customWidth="1"/>
    <col min="10749" max="10750" width="14.7109375" style="226" customWidth="1"/>
    <col min="10751" max="10751" width="0" style="226" hidden="1" customWidth="1"/>
    <col min="10752" max="10752" width="10.7109375" style="226" customWidth="1"/>
    <col min="10753" max="10753" width="14.7109375" style="226" customWidth="1"/>
    <col min="10754" max="10754" width="10.7109375" style="226" customWidth="1"/>
    <col min="10755" max="10755" width="14.7109375" style="226" customWidth="1"/>
    <col min="10756" max="10756" width="10.7109375" style="226" customWidth="1"/>
    <col min="10757" max="10995" width="46" style="226" customWidth="1"/>
    <col min="10996" max="10996" width="5.7109375" style="226" customWidth="1"/>
    <col min="10997" max="10997" width="11" style="226" customWidth="1"/>
    <col min="10998" max="10998" width="34.5703125" style="226" customWidth="1"/>
    <col min="10999" max="11000" width="17.5703125" style="226"/>
    <col min="11001" max="11001" width="5.140625" style="226" customWidth="1"/>
    <col min="11002" max="11002" width="10.42578125" style="226" customWidth="1"/>
    <col min="11003" max="11003" width="34.42578125" style="226" customWidth="1"/>
    <col min="11004" max="11004" width="0" style="226" hidden="1" customWidth="1"/>
    <col min="11005" max="11006" width="14.7109375" style="226" customWidth="1"/>
    <col min="11007" max="11007" width="0" style="226" hidden="1" customWidth="1"/>
    <col min="11008" max="11008" width="10.7109375" style="226" customWidth="1"/>
    <col min="11009" max="11009" width="14.7109375" style="226" customWidth="1"/>
    <col min="11010" max="11010" width="10.7109375" style="226" customWidth="1"/>
    <col min="11011" max="11011" width="14.7109375" style="226" customWidth="1"/>
    <col min="11012" max="11012" width="10.7109375" style="226" customWidth="1"/>
    <col min="11013" max="11251" width="46" style="226" customWidth="1"/>
    <col min="11252" max="11252" width="5.7109375" style="226" customWidth="1"/>
    <col min="11253" max="11253" width="11" style="226" customWidth="1"/>
    <col min="11254" max="11254" width="34.5703125" style="226" customWidth="1"/>
    <col min="11255" max="11256" width="17.5703125" style="226"/>
    <col min="11257" max="11257" width="5.140625" style="226" customWidth="1"/>
    <col min="11258" max="11258" width="10.42578125" style="226" customWidth="1"/>
    <col min="11259" max="11259" width="34.42578125" style="226" customWidth="1"/>
    <col min="11260" max="11260" width="0" style="226" hidden="1" customWidth="1"/>
    <col min="11261" max="11262" width="14.7109375" style="226" customWidth="1"/>
    <col min="11263" max="11263" width="0" style="226" hidden="1" customWidth="1"/>
    <col min="11264" max="11264" width="10.7109375" style="226" customWidth="1"/>
    <col min="11265" max="11265" width="14.7109375" style="226" customWidth="1"/>
    <col min="11266" max="11266" width="10.7109375" style="226" customWidth="1"/>
    <col min="11267" max="11267" width="14.7109375" style="226" customWidth="1"/>
    <col min="11268" max="11268" width="10.7109375" style="226" customWidth="1"/>
    <col min="11269" max="11507" width="46" style="226" customWidth="1"/>
    <col min="11508" max="11508" width="5.7109375" style="226" customWidth="1"/>
    <col min="11509" max="11509" width="11" style="226" customWidth="1"/>
    <col min="11510" max="11510" width="34.5703125" style="226" customWidth="1"/>
    <col min="11511" max="11512" width="17.5703125" style="226"/>
    <col min="11513" max="11513" width="5.140625" style="226" customWidth="1"/>
    <col min="11514" max="11514" width="10.42578125" style="226" customWidth="1"/>
    <col min="11515" max="11515" width="34.42578125" style="226" customWidth="1"/>
    <col min="11516" max="11516" width="0" style="226" hidden="1" customWidth="1"/>
    <col min="11517" max="11518" width="14.7109375" style="226" customWidth="1"/>
    <col min="11519" max="11519" width="0" style="226" hidden="1" customWidth="1"/>
    <col min="11520" max="11520" width="10.7109375" style="226" customWidth="1"/>
    <col min="11521" max="11521" width="14.7109375" style="226" customWidth="1"/>
    <col min="11522" max="11522" width="10.7109375" style="226" customWidth="1"/>
    <col min="11523" max="11523" width="14.7109375" style="226" customWidth="1"/>
    <col min="11524" max="11524" width="10.7109375" style="226" customWidth="1"/>
    <col min="11525" max="11763" width="46" style="226" customWidth="1"/>
    <col min="11764" max="11764" width="5.7109375" style="226" customWidth="1"/>
    <col min="11765" max="11765" width="11" style="226" customWidth="1"/>
    <col min="11766" max="11766" width="34.5703125" style="226" customWidth="1"/>
    <col min="11767" max="11768" width="17.5703125" style="226"/>
    <col min="11769" max="11769" width="5.140625" style="226" customWidth="1"/>
    <col min="11770" max="11770" width="10.42578125" style="226" customWidth="1"/>
    <col min="11771" max="11771" width="34.42578125" style="226" customWidth="1"/>
    <col min="11772" max="11772" width="0" style="226" hidden="1" customWidth="1"/>
    <col min="11773" max="11774" width="14.7109375" style="226" customWidth="1"/>
    <col min="11775" max="11775" width="0" style="226" hidden="1" customWidth="1"/>
    <col min="11776" max="11776" width="10.7109375" style="226" customWidth="1"/>
    <col min="11777" max="11777" width="14.7109375" style="226" customWidth="1"/>
    <col min="11778" max="11778" width="10.7109375" style="226" customWidth="1"/>
    <col min="11779" max="11779" width="14.7109375" style="226" customWidth="1"/>
    <col min="11780" max="11780" width="10.7109375" style="226" customWidth="1"/>
    <col min="11781" max="12019" width="46" style="226" customWidth="1"/>
    <col min="12020" max="12020" width="5.7109375" style="226" customWidth="1"/>
    <col min="12021" max="12021" width="11" style="226" customWidth="1"/>
    <col min="12022" max="12022" width="34.5703125" style="226" customWidth="1"/>
    <col min="12023" max="12024" width="17.5703125" style="226"/>
    <col min="12025" max="12025" width="5.140625" style="226" customWidth="1"/>
    <col min="12026" max="12026" width="10.42578125" style="226" customWidth="1"/>
    <col min="12027" max="12027" width="34.42578125" style="226" customWidth="1"/>
    <col min="12028" max="12028" width="0" style="226" hidden="1" customWidth="1"/>
    <col min="12029" max="12030" width="14.7109375" style="226" customWidth="1"/>
    <col min="12031" max="12031" width="0" style="226" hidden="1" customWidth="1"/>
    <col min="12032" max="12032" width="10.7109375" style="226" customWidth="1"/>
    <col min="12033" max="12033" width="14.7109375" style="226" customWidth="1"/>
    <col min="12034" max="12034" width="10.7109375" style="226" customWidth="1"/>
    <col min="12035" max="12035" width="14.7109375" style="226" customWidth="1"/>
    <col min="12036" max="12036" width="10.7109375" style="226" customWidth="1"/>
    <col min="12037" max="12275" width="46" style="226" customWidth="1"/>
    <col min="12276" max="12276" width="5.7109375" style="226" customWidth="1"/>
    <col min="12277" max="12277" width="11" style="226" customWidth="1"/>
    <col min="12278" max="12278" width="34.5703125" style="226" customWidth="1"/>
    <col min="12279" max="12280" width="17.5703125" style="226"/>
    <col min="12281" max="12281" width="5.140625" style="226" customWidth="1"/>
    <col min="12282" max="12282" width="10.42578125" style="226" customWidth="1"/>
    <col min="12283" max="12283" width="34.42578125" style="226" customWidth="1"/>
    <col min="12284" max="12284" width="0" style="226" hidden="1" customWidth="1"/>
    <col min="12285" max="12286" width="14.7109375" style="226" customWidth="1"/>
    <col min="12287" max="12287" width="0" style="226" hidden="1" customWidth="1"/>
    <col min="12288" max="12288" width="10.7109375" style="226" customWidth="1"/>
    <col min="12289" max="12289" width="14.7109375" style="226" customWidth="1"/>
    <col min="12290" max="12290" width="10.7109375" style="226" customWidth="1"/>
    <col min="12291" max="12291" width="14.7109375" style="226" customWidth="1"/>
    <col min="12292" max="12292" width="10.7109375" style="226" customWidth="1"/>
    <col min="12293" max="12531" width="46" style="226" customWidth="1"/>
    <col min="12532" max="12532" width="5.7109375" style="226" customWidth="1"/>
    <col min="12533" max="12533" width="11" style="226" customWidth="1"/>
    <col min="12534" max="12534" width="34.5703125" style="226" customWidth="1"/>
    <col min="12535" max="12536" width="17.5703125" style="226"/>
    <col min="12537" max="12537" width="5.140625" style="226" customWidth="1"/>
    <col min="12538" max="12538" width="10.42578125" style="226" customWidth="1"/>
    <col min="12539" max="12539" width="34.42578125" style="226" customWidth="1"/>
    <col min="12540" max="12540" width="0" style="226" hidden="1" customWidth="1"/>
    <col min="12541" max="12542" width="14.7109375" style="226" customWidth="1"/>
    <col min="12543" max="12543" width="0" style="226" hidden="1" customWidth="1"/>
    <col min="12544" max="12544" width="10.7109375" style="226" customWidth="1"/>
    <col min="12545" max="12545" width="14.7109375" style="226" customWidth="1"/>
    <col min="12546" max="12546" width="10.7109375" style="226" customWidth="1"/>
    <col min="12547" max="12547" width="14.7109375" style="226" customWidth="1"/>
    <col min="12548" max="12548" width="10.7109375" style="226" customWidth="1"/>
    <col min="12549" max="12787" width="46" style="226" customWidth="1"/>
    <col min="12788" max="12788" width="5.7109375" style="226" customWidth="1"/>
    <col min="12789" max="12789" width="11" style="226" customWidth="1"/>
    <col min="12790" max="12790" width="34.5703125" style="226" customWidth="1"/>
    <col min="12791" max="12792" width="17.5703125" style="226"/>
    <col min="12793" max="12793" width="5.140625" style="226" customWidth="1"/>
    <col min="12794" max="12794" width="10.42578125" style="226" customWidth="1"/>
    <col min="12795" max="12795" width="34.42578125" style="226" customWidth="1"/>
    <col min="12796" max="12796" width="0" style="226" hidden="1" customWidth="1"/>
    <col min="12797" max="12798" width="14.7109375" style="226" customWidth="1"/>
    <col min="12799" max="12799" width="0" style="226" hidden="1" customWidth="1"/>
    <col min="12800" max="12800" width="10.7109375" style="226" customWidth="1"/>
    <col min="12801" max="12801" width="14.7109375" style="226" customWidth="1"/>
    <col min="12802" max="12802" width="10.7109375" style="226" customWidth="1"/>
    <col min="12803" max="12803" width="14.7109375" style="226" customWidth="1"/>
    <col min="12804" max="12804" width="10.7109375" style="226" customWidth="1"/>
    <col min="12805" max="13043" width="46" style="226" customWidth="1"/>
    <col min="13044" max="13044" width="5.7109375" style="226" customWidth="1"/>
    <col min="13045" max="13045" width="11" style="226" customWidth="1"/>
    <col min="13046" max="13046" width="34.5703125" style="226" customWidth="1"/>
    <col min="13047" max="13048" width="17.5703125" style="226"/>
    <col min="13049" max="13049" width="5.140625" style="226" customWidth="1"/>
    <col min="13050" max="13050" width="10.42578125" style="226" customWidth="1"/>
    <col min="13051" max="13051" width="34.42578125" style="226" customWidth="1"/>
    <col min="13052" max="13052" width="0" style="226" hidden="1" customWidth="1"/>
    <col min="13053" max="13054" width="14.7109375" style="226" customWidth="1"/>
    <col min="13055" max="13055" width="0" style="226" hidden="1" customWidth="1"/>
    <col min="13056" max="13056" width="10.7109375" style="226" customWidth="1"/>
    <col min="13057" max="13057" width="14.7109375" style="226" customWidth="1"/>
    <col min="13058" max="13058" width="10.7109375" style="226" customWidth="1"/>
    <col min="13059" max="13059" width="14.7109375" style="226" customWidth="1"/>
    <col min="13060" max="13060" width="10.7109375" style="226" customWidth="1"/>
    <col min="13061" max="13299" width="46" style="226" customWidth="1"/>
    <col min="13300" max="13300" width="5.7109375" style="226" customWidth="1"/>
    <col min="13301" max="13301" width="11" style="226" customWidth="1"/>
    <col min="13302" max="13302" width="34.5703125" style="226" customWidth="1"/>
    <col min="13303" max="13304" width="17.5703125" style="226"/>
    <col min="13305" max="13305" width="5.140625" style="226" customWidth="1"/>
    <col min="13306" max="13306" width="10.42578125" style="226" customWidth="1"/>
    <col min="13307" max="13307" width="34.42578125" style="226" customWidth="1"/>
    <col min="13308" max="13308" width="0" style="226" hidden="1" customWidth="1"/>
    <col min="13309" max="13310" width="14.7109375" style="226" customWidth="1"/>
    <col min="13311" max="13311" width="0" style="226" hidden="1" customWidth="1"/>
    <col min="13312" max="13312" width="10.7109375" style="226" customWidth="1"/>
    <col min="13313" max="13313" width="14.7109375" style="226" customWidth="1"/>
    <col min="13314" max="13314" width="10.7109375" style="226" customWidth="1"/>
    <col min="13315" max="13315" width="14.7109375" style="226" customWidth="1"/>
    <col min="13316" max="13316" width="10.7109375" style="226" customWidth="1"/>
    <col min="13317" max="13555" width="46" style="226" customWidth="1"/>
    <col min="13556" max="13556" width="5.7109375" style="226" customWidth="1"/>
    <col min="13557" max="13557" width="11" style="226" customWidth="1"/>
    <col min="13558" max="13558" width="34.5703125" style="226" customWidth="1"/>
    <col min="13559" max="13560" width="17.5703125" style="226"/>
    <col min="13561" max="13561" width="5.140625" style="226" customWidth="1"/>
    <col min="13562" max="13562" width="10.42578125" style="226" customWidth="1"/>
    <col min="13563" max="13563" width="34.42578125" style="226" customWidth="1"/>
    <col min="13564" max="13564" width="0" style="226" hidden="1" customWidth="1"/>
    <col min="13565" max="13566" width="14.7109375" style="226" customWidth="1"/>
    <col min="13567" max="13567" width="0" style="226" hidden="1" customWidth="1"/>
    <col min="13568" max="13568" width="10.7109375" style="226" customWidth="1"/>
    <col min="13569" max="13569" width="14.7109375" style="226" customWidth="1"/>
    <col min="13570" max="13570" width="10.7109375" style="226" customWidth="1"/>
    <col min="13571" max="13571" width="14.7109375" style="226" customWidth="1"/>
    <col min="13572" max="13572" width="10.7109375" style="226" customWidth="1"/>
    <col min="13573" max="13811" width="46" style="226" customWidth="1"/>
    <col min="13812" max="13812" width="5.7109375" style="226" customWidth="1"/>
    <col min="13813" max="13813" width="11" style="226" customWidth="1"/>
    <col min="13814" max="13814" width="34.5703125" style="226" customWidth="1"/>
    <col min="13815" max="13816" width="17.5703125" style="226"/>
    <col min="13817" max="13817" width="5.140625" style="226" customWidth="1"/>
    <col min="13818" max="13818" width="10.42578125" style="226" customWidth="1"/>
    <col min="13819" max="13819" width="34.42578125" style="226" customWidth="1"/>
    <col min="13820" max="13820" width="0" style="226" hidden="1" customWidth="1"/>
    <col min="13821" max="13822" width="14.7109375" style="226" customWidth="1"/>
    <col min="13823" max="13823" width="0" style="226" hidden="1" customWidth="1"/>
    <col min="13824" max="13824" width="10.7109375" style="226" customWidth="1"/>
    <col min="13825" max="13825" width="14.7109375" style="226" customWidth="1"/>
    <col min="13826" max="13826" width="10.7109375" style="226" customWidth="1"/>
    <col min="13827" max="13827" width="14.7109375" style="226" customWidth="1"/>
    <col min="13828" max="13828" width="10.7109375" style="226" customWidth="1"/>
    <col min="13829" max="14067" width="46" style="226" customWidth="1"/>
    <col min="14068" max="14068" width="5.7109375" style="226" customWidth="1"/>
    <col min="14069" max="14069" width="11" style="226" customWidth="1"/>
    <col min="14070" max="14070" width="34.5703125" style="226" customWidth="1"/>
    <col min="14071" max="14072" width="17.5703125" style="226"/>
    <col min="14073" max="14073" width="5.140625" style="226" customWidth="1"/>
    <col min="14074" max="14074" width="10.42578125" style="226" customWidth="1"/>
    <col min="14075" max="14075" width="34.42578125" style="226" customWidth="1"/>
    <col min="14076" max="14076" width="0" style="226" hidden="1" customWidth="1"/>
    <col min="14077" max="14078" width="14.7109375" style="226" customWidth="1"/>
    <col min="14079" max="14079" width="0" style="226" hidden="1" customWidth="1"/>
    <col min="14080" max="14080" width="10.7109375" style="226" customWidth="1"/>
    <col min="14081" max="14081" width="14.7109375" style="226" customWidth="1"/>
    <col min="14082" max="14082" width="10.7109375" style="226" customWidth="1"/>
    <col min="14083" max="14083" width="14.7109375" style="226" customWidth="1"/>
    <col min="14084" max="14084" width="10.7109375" style="226" customWidth="1"/>
    <col min="14085" max="14323" width="46" style="226" customWidth="1"/>
    <col min="14324" max="14324" width="5.7109375" style="226" customWidth="1"/>
    <col min="14325" max="14325" width="11" style="226" customWidth="1"/>
    <col min="14326" max="14326" width="34.5703125" style="226" customWidth="1"/>
    <col min="14327" max="14328" width="17.5703125" style="226"/>
    <col min="14329" max="14329" width="5.140625" style="226" customWidth="1"/>
    <col min="14330" max="14330" width="10.42578125" style="226" customWidth="1"/>
    <col min="14331" max="14331" width="34.42578125" style="226" customWidth="1"/>
    <col min="14332" max="14332" width="0" style="226" hidden="1" customWidth="1"/>
    <col min="14333" max="14334" width="14.7109375" style="226" customWidth="1"/>
    <col min="14335" max="14335" width="0" style="226" hidden="1" customWidth="1"/>
    <col min="14336" max="14336" width="10.7109375" style="226" customWidth="1"/>
    <col min="14337" max="14337" width="14.7109375" style="226" customWidth="1"/>
    <col min="14338" max="14338" width="10.7109375" style="226" customWidth="1"/>
    <col min="14339" max="14339" width="14.7109375" style="226" customWidth="1"/>
    <col min="14340" max="14340" width="10.7109375" style="226" customWidth="1"/>
    <col min="14341" max="14579" width="46" style="226" customWidth="1"/>
    <col min="14580" max="14580" width="5.7109375" style="226" customWidth="1"/>
    <col min="14581" max="14581" width="11" style="226" customWidth="1"/>
    <col min="14582" max="14582" width="34.5703125" style="226" customWidth="1"/>
    <col min="14583" max="14584" width="17.5703125" style="226"/>
    <col min="14585" max="14585" width="5.140625" style="226" customWidth="1"/>
    <col min="14586" max="14586" width="10.42578125" style="226" customWidth="1"/>
    <col min="14587" max="14587" width="34.42578125" style="226" customWidth="1"/>
    <col min="14588" max="14588" width="0" style="226" hidden="1" customWidth="1"/>
    <col min="14589" max="14590" width="14.7109375" style="226" customWidth="1"/>
    <col min="14591" max="14591" width="0" style="226" hidden="1" customWidth="1"/>
    <col min="14592" max="14592" width="10.7109375" style="226" customWidth="1"/>
    <col min="14593" max="14593" width="14.7109375" style="226" customWidth="1"/>
    <col min="14594" max="14594" width="10.7109375" style="226" customWidth="1"/>
    <col min="14595" max="14595" width="14.7109375" style="226" customWidth="1"/>
    <col min="14596" max="14596" width="10.7109375" style="226" customWidth="1"/>
    <col min="14597" max="14835" width="46" style="226" customWidth="1"/>
    <col min="14836" max="14836" width="5.7109375" style="226" customWidth="1"/>
    <col min="14837" max="14837" width="11" style="226" customWidth="1"/>
    <col min="14838" max="14838" width="34.5703125" style="226" customWidth="1"/>
    <col min="14839" max="14840" width="17.5703125" style="226"/>
    <col min="14841" max="14841" width="5.140625" style="226" customWidth="1"/>
    <col min="14842" max="14842" width="10.42578125" style="226" customWidth="1"/>
    <col min="14843" max="14843" width="34.42578125" style="226" customWidth="1"/>
    <col min="14844" max="14844" width="0" style="226" hidden="1" customWidth="1"/>
    <col min="14845" max="14846" width="14.7109375" style="226" customWidth="1"/>
    <col min="14847" max="14847" width="0" style="226" hidden="1" customWidth="1"/>
    <col min="14848" max="14848" width="10.7109375" style="226" customWidth="1"/>
    <col min="14849" max="14849" width="14.7109375" style="226" customWidth="1"/>
    <col min="14850" max="14850" width="10.7109375" style="226" customWidth="1"/>
    <col min="14851" max="14851" width="14.7109375" style="226" customWidth="1"/>
    <col min="14852" max="14852" width="10.7109375" style="226" customWidth="1"/>
    <col min="14853" max="15091" width="46" style="226" customWidth="1"/>
    <col min="15092" max="15092" width="5.7109375" style="226" customWidth="1"/>
    <col min="15093" max="15093" width="11" style="226" customWidth="1"/>
    <col min="15094" max="15094" width="34.5703125" style="226" customWidth="1"/>
    <col min="15095" max="15096" width="17.5703125" style="226"/>
    <col min="15097" max="15097" width="5.140625" style="226" customWidth="1"/>
    <col min="15098" max="15098" width="10.42578125" style="226" customWidth="1"/>
    <col min="15099" max="15099" width="34.42578125" style="226" customWidth="1"/>
    <col min="15100" max="15100" width="0" style="226" hidden="1" customWidth="1"/>
    <col min="15101" max="15102" width="14.7109375" style="226" customWidth="1"/>
    <col min="15103" max="15103" width="0" style="226" hidden="1" customWidth="1"/>
    <col min="15104" max="15104" width="10.7109375" style="226" customWidth="1"/>
    <col min="15105" max="15105" width="14.7109375" style="226" customWidth="1"/>
    <col min="15106" max="15106" width="10.7109375" style="226" customWidth="1"/>
    <col min="15107" max="15107" width="14.7109375" style="226" customWidth="1"/>
    <col min="15108" max="15108" width="10.7109375" style="226" customWidth="1"/>
    <col min="15109" max="15347" width="46" style="226" customWidth="1"/>
    <col min="15348" max="15348" width="5.7109375" style="226" customWidth="1"/>
    <col min="15349" max="15349" width="11" style="226" customWidth="1"/>
    <col min="15350" max="15350" width="34.5703125" style="226" customWidth="1"/>
    <col min="15351" max="15352" width="17.5703125" style="226"/>
    <col min="15353" max="15353" width="5.140625" style="226" customWidth="1"/>
    <col min="15354" max="15354" width="10.42578125" style="226" customWidth="1"/>
    <col min="15355" max="15355" width="34.42578125" style="226" customWidth="1"/>
    <col min="15356" max="15356" width="0" style="226" hidden="1" customWidth="1"/>
    <col min="15357" max="15358" width="14.7109375" style="226" customWidth="1"/>
    <col min="15359" max="15359" width="0" style="226" hidden="1" customWidth="1"/>
    <col min="15360" max="15360" width="10.7109375" style="226" customWidth="1"/>
    <col min="15361" max="15361" width="14.7109375" style="226" customWidth="1"/>
    <col min="15362" max="15362" width="10.7109375" style="226" customWidth="1"/>
    <col min="15363" max="15363" width="14.7109375" style="226" customWidth="1"/>
    <col min="15364" max="15364" width="10.7109375" style="226" customWidth="1"/>
    <col min="15365" max="15603" width="46" style="226" customWidth="1"/>
    <col min="15604" max="15604" width="5.7109375" style="226" customWidth="1"/>
    <col min="15605" max="15605" width="11" style="226" customWidth="1"/>
    <col min="15606" max="15606" width="34.5703125" style="226" customWidth="1"/>
    <col min="15607" max="15608" width="17.5703125" style="226"/>
    <col min="15609" max="15609" width="5.140625" style="226" customWidth="1"/>
    <col min="15610" max="15610" width="10.42578125" style="226" customWidth="1"/>
    <col min="15611" max="15611" width="34.42578125" style="226" customWidth="1"/>
    <col min="15612" max="15612" width="0" style="226" hidden="1" customWidth="1"/>
    <col min="15613" max="15614" width="14.7109375" style="226" customWidth="1"/>
    <col min="15615" max="15615" width="0" style="226" hidden="1" customWidth="1"/>
    <col min="15616" max="15616" width="10.7109375" style="226" customWidth="1"/>
    <col min="15617" max="15617" width="14.7109375" style="226" customWidth="1"/>
    <col min="15618" max="15618" width="10.7109375" style="226" customWidth="1"/>
    <col min="15619" max="15619" width="14.7109375" style="226" customWidth="1"/>
    <col min="15620" max="15620" width="10.7109375" style="226" customWidth="1"/>
    <col min="15621" max="15859" width="46" style="226" customWidth="1"/>
    <col min="15860" max="15860" width="5.7109375" style="226" customWidth="1"/>
    <col min="15861" max="15861" width="11" style="226" customWidth="1"/>
    <col min="15862" max="15862" width="34.5703125" style="226" customWidth="1"/>
    <col min="15863" max="15864" width="17.5703125" style="226"/>
    <col min="15865" max="15865" width="5.140625" style="226" customWidth="1"/>
    <col min="15866" max="15866" width="10.42578125" style="226" customWidth="1"/>
    <col min="15867" max="15867" width="34.42578125" style="226" customWidth="1"/>
    <col min="15868" max="15868" width="0" style="226" hidden="1" customWidth="1"/>
    <col min="15869" max="15870" width="14.7109375" style="226" customWidth="1"/>
    <col min="15871" max="15871" width="0" style="226" hidden="1" customWidth="1"/>
    <col min="15872" max="15872" width="10.7109375" style="226" customWidth="1"/>
    <col min="15873" max="15873" width="14.7109375" style="226" customWidth="1"/>
    <col min="15874" max="15874" width="10.7109375" style="226" customWidth="1"/>
    <col min="15875" max="15875" width="14.7109375" style="226" customWidth="1"/>
    <col min="15876" max="15876" width="10.7109375" style="226" customWidth="1"/>
    <col min="15877" max="16115" width="46" style="226" customWidth="1"/>
    <col min="16116" max="16116" width="5.7109375" style="226" customWidth="1"/>
    <col min="16117" max="16117" width="11" style="226" customWidth="1"/>
    <col min="16118" max="16118" width="34.5703125" style="226" customWidth="1"/>
    <col min="16119" max="16120" width="17.5703125" style="226"/>
    <col min="16121" max="16121" width="5.140625" style="226" customWidth="1"/>
    <col min="16122" max="16122" width="10.42578125" style="226" customWidth="1"/>
    <col min="16123" max="16123" width="34.42578125" style="226" customWidth="1"/>
    <col min="16124" max="16124" width="0" style="226" hidden="1" customWidth="1"/>
    <col min="16125" max="16126" width="14.7109375" style="226" customWidth="1"/>
    <col min="16127" max="16127" width="0" style="226" hidden="1" customWidth="1"/>
    <col min="16128" max="16128" width="10.7109375" style="226" customWidth="1"/>
    <col min="16129" max="16129" width="14.7109375" style="226" customWidth="1"/>
    <col min="16130" max="16130" width="10.7109375" style="226" customWidth="1"/>
    <col min="16131" max="16131" width="14.7109375" style="226" customWidth="1"/>
    <col min="16132" max="16132" width="10.7109375" style="226" customWidth="1"/>
    <col min="16133" max="16371" width="46" style="226" customWidth="1"/>
    <col min="16372" max="16372" width="5.7109375" style="226" customWidth="1"/>
    <col min="16373" max="16373" width="11" style="226" customWidth="1"/>
    <col min="16374" max="16374" width="34.5703125" style="226" customWidth="1"/>
    <col min="16375" max="16384" width="17.5703125" style="226"/>
  </cols>
  <sheetData>
    <row r="1" spans="1:7" ht="25.5" customHeight="1">
      <c r="A1" s="590" t="s">
        <v>437</v>
      </c>
      <c r="B1" s="590"/>
      <c r="C1" s="590"/>
      <c r="D1" s="590"/>
      <c r="E1" s="590"/>
      <c r="F1" s="590"/>
      <c r="G1" s="590"/>
    </row>
    <row r="2" spans="1:7" s="228" customFormat="1" ht="30" customHeight="1">
      <c r="A2" s="80" t="s">
        <v>246</v>
      </c>
      <c r="B2" s="80" t="s">
        <v>247</v>
      </c>
      <c r="C2" s="80" t="s">
        <v>248</v>
      </c>
      <c r="D2" s="80" t="s">
        <v>249</v>
      </c>
      <c r="E2" s="80" t="s">
        <v>398</v>
      </c>
      <c r="F2" s="80" t="s">
        <v>399</v>
      </c>
      <c r="G2" s="316" t="s">
        <v>400</v>
      </c>
    </row>
    <row r="3" spans="1:7" ht="10.5" customHeight="1">
      <c r="A3" s="229" t="s">
        <v>250</v>
      </c>
      <c r="B3" s="229" t="s">
        <v>251</v>
      </c>
      <c r="C3" s="229" t="s">
        <v>252</v>
      </c>
      <c r="D3" s="229" t="s">
        <v>253</v>
      </c>
      <c r="E3" s="229" t="s">
        <v>253</v>
      </c>
      <c r="F3" s="229" t="s">
        <v>254</v>
      </c>
      <c r="G3" s="229" t="s">
        <v>255</v>
      </c>
    </row>
    <row r="4" spans="1:7" ht="25.5" customHeight="1">
      <c r="A4" s="230" t="s">
        <v>250</v>
      </c>
      <c r="B4" s="231" t="s">
        <v>256</v>
      </c>
      <c r="C4" s="232" t="s">
        <v>424</v>
      </c>
      <c r="D4" s="233">
        <f>SUM(D5:D12)</f>
        <v>0</v>
      </c>
      <c r="E4" s="233">
        <f>SUM(E5:E14)</f>
        <v>1834121771</v>
      </c>
      <c r="F4" s="233">
        <f>SUM(F5:F14)</f>
        <v>1566260110</v>
      </c>
      <c r="G4" s="233">
        <f>SUM(G5:G14)</f>
        <v>1547295674</v>
      </c>
    </row>
    <row r="5" spans="1:7" ht="15" customHeight="1">
      <c r="A5" s="234"/>
      <c r="B5" s="235"/>
      <c r="C5" s="77" t="s">
        <v>278</v>
      </c>
      <c r="D5" s="236"/>
      <c r="E5" s="236">
        <v>584662411</v>
      </c>
      <c r="F5" s="236">
        <v>216316492</v>
      </c>
      <c r="G5" s="236">
        <v>216775535</v>
      </c>
    </row>
    <row r="6" spans="1:7" ht="15" customHeight="1">
      <c r="A6" s="234"/>
      <c r="B6" s="235"/>
      <c r="C6" s="77" t="s">
        <v>279</v>
      </c>
      <c r="D6" s="237"/>
      <c r="E6" s="237">
        <v>12791012</v>
      </c>
      <c r="F6" s="237">
        <v>13891368</v>
      </c>
      <c r="G6" s="237">
        <v>13891368</v>
      </c>
    </row>
    <row r="7" spans="1:7" ht="15" customHeight="1">
      <c r="A7" s="234"/>
      <c r="B7" s="235"/>
      <c r="C7" s="77" t="s">
        <v>463</v>
      </c>
      <c r="D7" s="236"/>
      <c r="E7" s="236">
        <v>468947</v>
      </c>
      <c r="F7" s="236">
        <v>0</v>
      </c>
      <c r="G7" s="236">
        <v>0</v>
      </c>
    </row>
    <row r="8" spans="1:7" ht="15" customHeight="1">
      <c r="A8" s="234"/>
      <c r="B8" s="235"/>
      <c r="C8" s="77" t="s">
        <v>281</v>
      </c>
      <c r="D8" s="236"/>
      <c r="E8" s="236">
        <v>1100000</v>
      </c>
      <c r="F8" s="236">
        <v>1100000</v>
      </c>
      <c r="G8" s="236">
        <v>1100000</v>
      </c>
    </row>
    <row r="9" spans="1:7" ht="15" customHeight="1">
      <c r="A9" s="234"/>
      <c r="B9" s="235"/>
      <c r="C9" s="77" t="s">
        <v>282</v>
      </c>
      <c r="D9" s="236"/>
      <c r="E9" s="236">
        <v>5867246</v>
      </c>
      <c r="F9" s="236">
        <v>852250</v>
      </c>
      <c r="G9" s="236">
        <v>802250</v>
      </c>
    </row>
    <row r="10" spans="1:7" ht="15" customHeight="1">
      <c r="A10" s="234"/>
      <c r="B10" s="235"/>
      <c r="C10" s="77" t="s">
        <v>284</v>
      </c>
      <c r="D10" s="236"/>
      <c r="E10" s="236">
        <v>100000</v>
      </c>
      <c r="F10" s="236">
        <v>100000</v>
      </c>
      <c r="G10" s="236">
        <v>100000</v>
      </c>
    </row>
    <row r="11" spans="1:7" ht="15" customHeight="1">
      <c r="A11" s="234"/>
      <c r="B11" s="235"/>
      <c r="C11" s="77" t="s">
        <v>373</v>
      </c>
      <c r="D11" s="236"/>
      <c r="E11" s="236">
        <v>19000000</v>
      </c>
      <c r="F11" s="236">
        <v>19000000</v>
      </c>
      <c r="G11" s="236">
        <v>19000000</v>
      </c>
    </row>
    <row r="12" spans="1:7" ht="15" customHeight="1">
      <c r="A12" s="234"/>
      <c r="B12" s="235"/>
      <c r="C12" s="77" t="s">
        <v>283</v>
      </c>
      <c r="D12" s="236"/>
      <c r="E12" s="236">
        <v>552000000</v>
      </c>
      <c r="F12" s="236">
        <v>832000000</v>
      </c>
      <c r="G12" s="236">
        <v>1232626521</v>
      </c>
    </row>
    <row r="13" spans="1:7" ht="15" customHeight="1">
      <c r="A13" s="234"/>
      <c r="B13" s="235"/>
      <c r="C13" s="272" t="s">
        <v>431</v>
      </c>
      <c r="D13" s="236"/>
      <c r="E13" s="570">
        <v>240132155</v>
      </c>
      <c r="F13" s="570">
        <v>65000000</v>
      </c>
      <c r="G13" s="570">
        <v>63000000</v>
      </c>
    </row>
    <row r="14" spans="1:7" ht="15" customHeight="1">
      <c r="A14" s="234"/>
      <c r="B14" s="235"/>
      <c r="C14" s="272" t="s">
        <v>434</v>
      </c>
      <c r="D14" s="236"/>
      <c r="E14" s="570">
        <v>418000000</v>
      </c>
      <c r="F14" s="570">
        <v>418000000</v>
      </c>
      <c r="G14" s="570">
        <v>0</v>
      </c>
    </row>
    <row r="15" spans="1:7" ht="25.5" customHeight="1">
      <c r="A15" s="238" t="s">
        <v>251</v>
      </c>
      <c r="B15" s="239" t="s">
        <v>257</v>
      </c>
      <c r="C15" s="240" t="s">
        <v>100</v>
      </c>
      <c r="D15" s="241">
        <f>SUM(D16:D18)</f>
        <v>48244473</v>
      </c>
      <c r="E15" s="241">
        <f>SUM(E16:E20)</f>
        <v>39190888</v>
      </c>
      <c r="F15" s="241">
        <f>SUM(F16:F20)</f>
        <v>38890888</v>
      </c>
      <c r="G15" s="241">
        <f>SUM(G16:G19)</f>
        <v>38890888</v>
      </c>
    </row>
    <row r="16" spans="1:7" ht="15" customHeight="1">
      <c r="A16" s="234"/>
      <c r="B16" s="235"/>
      <c r="C16" s="77" t="s">
        <v>278</v>
      </c>
      <c r="D16" s="236">
        <v>45069473</v>
      </c>
      <c r="E16" s="236">
        <v>36015888</v>
      </c>
      <c r="F16" s="236">
        <v>35715888</v>
      </c>
      <c r="G16" s="236">
        <v>35715888</v>
      </c>
    </row>
    <row r="17" spans="1:8" ht="15" customHeight="1">
      <c r="A17" s="234"/>
      <c r="B17" s="235"/>
      <c r="C17" s="77" t="s">
        <v>280</v>
      </c>
      <c r="D17" s="236"/>
      <c r="E17" s="236">
        <v>73000</v>
      </c>
      <c r="F17" s="236">
        <v>73000</v>
      </c>
      <c r="G17" s="236">
        <v>73000</v>
      </c>
    </row>
    <row r="18" spans="1:8" ht="15" customHeight="1">
      <c r="A18" s="234"/>
      <c r="B18" s="235"/>
      <c r="C18" s="77" t="s">
        <v>281</v>
      </c>
      <c r="D18" s="237">
        <v>3175000</v>
      </c>
      <c r="E18" s="237">
        <v>2027000</v>
      </c>
      <c r="F18" s="237">
        <v>2027000</v>
      </c>
      <c r="G18" s="237">
        <v>2027000</v>
      </c>
    </row>
    <row r="19" spans="1:8" ht="15" customHeight="1">
      <c r="A19" s="234"/>
      <c r="B19" s="235"/>
      <c r="C19" s="77" t="s">
        <v>285</v>
      </c>
      <c r="D19" s="237"/>
      <c r="E19" s="237">
        <v>1075000</v>
      </c>
      <c r="F19" s="237">
        <v>1075000</v>
      </c>
      <c r="G19" s="237">
        <v>1075000</v>
      </c>
    </row>
    <row r="20" spans="1:8" ht="15" customHeight="1">
      <c r="A20" s="234"/>
      <c r="B20" s="235"/>
      <c r="C20" s="77" t="s">
        <v>298</v>
      </c>
      <c r="D20" s="237"/>
      <c r="E20" s="237">
        <v>0</v>
      </c>
      <c r="F20" s="237">
        <v>0</v>
      </c>
      <c r="G20" s="237">
        <v>0</v>
      </c>
    </row>
    <row r="21" spans="1:8" ht="25.5" customHeight="1">
      <c r="A21" s="238" t="s">
        <v>252</v>
      </c>
      <c r="B21" s="239" t="s">
        <v>314</v>
      </c>
      <c r="C21" s="240" t="s">
        <v>286</v>
      </c>
      <c r="D21" s="241" t="e">
        <f>#REF!+D22+D24+#REF!</f>
        <v>#REF!</v>
      </c>
      <c r="E21" s="241">
        <f t="shared" ref="E21:G21" si="0">E22+E24</f>
        <v>18837384</v>
      </c>
      <c r="F21" s="241">
        <f t="shared" si="0"/>
        <v>15537384</v>
      </c>
      <c r="G21" s="241">
        <f t="shared" si="0"/>
        <v>15537384</v>
      </c>
    </row>
    <row r="22" spans="1:8" s="246" customFormat="1" ht="25.5" customHeight="1">
      <c r="A22" s="242" t="s">
        <v>258</v>
      </c>
      <c r="B22" s="243" t="s">
        <v>152</v>
      </c>
      <c r="C22" s="244" t="s">
        <v>153</v>
      </c>
      <c r="D22" s="245">
        <f t="shared" ref="D22:G22" si="1">SUM(D23)</f>
        <v>4814304</v>
      </c>
      <c r="E22" s="245">
        <f t="shared" si="1"/>
        <v>2000000</v>
      </c>
      <c r="F22" s="245">
        <f t="shared" si="1"/>
        <v>0</v>
      </c>
      <c r="G22" s="245">
        <f t="shared" si="1"/>
        <v>0</v>
      </c>
      <c r="H22" s="247"/>
    </row>
    <row r="23" spans="1:8" s="246" customFormat="1" ht="15" customHeight="1">
      <c r="A23" s="248"/>
      <c r="B23" s="249"/>
      <c r="C23" s="77" t="s">
        <v>278</v>
      </c>
      <c r="D23" s="237">
        <v>4814304</v>
      </c>
      <c r="E23" s="250">
        <v>2000000</v>
      </c>
      <c r="F23" s="250">
        <v>0</v>
      </c>
      <c r="G23" s="250">
        <v>0</v>
      </c>
    </row>
    <row r="24" spans="1:8" s="246" customFormat="1" ht="25.5" customHeight="1">
      <c r="A24" s="251" t="s">
        <v>259</v>
      </c>
      <c r="B24" s="252">
        <v>47641</v>
      </c>
      <c r="C24" s="244" t="s">
        <v>159</v>
      </c>
      <c r="D24" s="245">
        <f>SUM(D25)</f>
        <v>12821973</v>
      </c>
      <c r="E24" s="245">
        <f>E25+E26+E27</f>
        <v>16837384</v>
      </c>
      <c r="F24" s="245">
        <f t="shared" ref="F24:G24" si="2">F25+F26+F27</f>
        <v>15537384</v>
      </c>
      <c r="G24" s="245">
        <f t="shared" si="2"/>
        <v>15537384</v>
      </c>
    </row>
    <row r="25" spans="1:8" s="246" customFormat="1" ht="15" customHeight="1">
      <c r="A25" s="253"/>
      <c r="B25" s="254"/>
      <c r="C25" s="77" t="s">
        <v>278</v>
      </c>
      <c r="D25" s="237">
        <v>12821973</v>
      </c>
      <c r="E25" s="237">
        <v>15947384</v>
      </c>
      <c r="F25" s="237">
        <v>15537384</v>
      </c>
      <c r="G25" s="237">
        <v>15537384</v>
      </c>
    </row>
    <row r="26" spans="1:8" s="246" customFormat="1" ht="15" customHeight="1">
      <c r="A26" s="253"/>
      <c r="B26" s="254"/>
      <c r="C26" s="77" t="s">
        <v>279</v>
      </c>
      <c r="D26" s="237"/>
      <c r="E26" s="237">
        <v>90000</v>
      </c>
      <c r="F26" s="237">
        <v>0</v>
      </c>
      <c r="G26" s="237">
        <v>0</v>
      </c>
    </row>
    <row r="27" spans="1:8" s="246" customFormat="1" ht="15" customHeight="1">
      <c r="A27" s="253"/>
      <c r="B27" s="254"/>
      <c r="C27" s="77" t="s">
        <v>282</v>
      </c>
      <c r="D27" s="237"/>
      <c r="E27" s="237">
        <v>800000</v>
      </c>
      <c r="F27" s="237">
        <v>0</v>
      </c>
      <c r="G27" s="237">
        <v>0</v>
      </c>
    </row>
    <row r="28" spans="1:8" s="246" customFormat="1" ht="25.5" customHeight="1">
      <c r="A28" s="238" t="s">
        <v>253</v>
      </c>
      <c r="B28" s="239" t="s">
        <v>260</v>
      </c>
      <c r="C28" s="240" t="s">
        <v>118</v>
      </c>
      <c r="D28" s="241">
        <f>SUM(D29:D30)</f>
        <v>17540322</v>
      </c>
      <c r="E28" s="241">
        <f>SUM(E29:E31)</f>
        <v>15203505</v>
      </c>
      <c r="F28" s="241">
        <f>SUM(F29:F31)</f>
        <v>16483505</v>
      </c>
      <c r="G28" s="241">
        <f>SUM(G29:G30)</f>
        <v>16483505</v>
      </c>
    </row>
    <row r="29" spans="1:8" ht="15" customHeight="1">
      <c r="A29" s="234"/>
      <c r="B29" s="235"/>
      <c r="C29" s="77" t="s">
        <v>278</v>
      </c>
      <c r="D29" s="236">
        <v>17528322</v>
      </c>
      <c r="E29" s="236">
        <v>15178505</v>
      </c>
      <c r="F29" s="236">
        <v>16478505</v>
      </c>
      <c r="G29" s="236">
        <v>16478505</v>
      </c>
    </row>
    <row r="30" spans="1:8" ht="15" customHeight="1">
      <c r="A30" s="234"/>
      <c r="B30" s="235"/>
      <c r="C30" s="77" t="s">
        <v>280</v>
      </c>
      <c r="D30" s="237">
        <v>12000</v>
      </c>
      <c r="E30" s="237">
        <v>25000</v>
      </c>
      <c r="F30" s="237">
        <v>5000</v>
      </c>
      <c r="G30" s="237">
        <v>5000</v>
      </c>
    </row>
    <row r="31" spans="1:8" ht="15" customHeight="1">
      <c r="A31" s="234"/>
      <c r="B31" s="235"/>
      <c r="C31" s="77" t="s">
        <v>284</v>
      </c>
      <c r="D31" s="237"/>
      <c r="E31" s="237">
        <v>0</v>
      </c>
      <c r="F31" s="237">
        <v>0</v>
      </c>
      <c r="G31" s="237">
        <v>0</v>
      </c>
    </row>
    <row r="32" spans="1:8" s="246" customFormat="1" ht="25.5" customHeight="1">
      <c r="A32" s="238" t="s">
        <v>254</v>
      </c>
      <c r="B32" s="239" t="s">
        <v>261</v>
      </c>
      <c r="C32" s="240" t="s">
        <v>134</v>
      </c>
      <c r="D32" s="241">
        <f t="shared" ref="D32:G32" si="3">SUM(D33:D35)</f>
        <v>378000</v>
      </c>
      <c r="E32" s="241">
        <f t="shared" si="3"/>
        <v>9745271</v>
      </c>
      <c r="F32" s="241">
        <f t="shared" si="3"/>
        <v>9745271</v>
      </c>
      <c r="G32" s="241">
        <f t="shared" si="3"/>
        <v>9745271</v>
      </c>
    </row>
    <row r="33" spans="1:7" ht="15" customHeight="1">
      <c r="A33" s="234"/>
      <c r="B33" s="235"/>
      <c r="C33" s="77" t="s">
        <v>278</v>
      </c>
      <c r="D33" s="236"/>
      <c r="E33" s="236">
        <v>9493271</v>
      </c>
      <c r="F33" s="236">
        <v>9493271</v>
      </c>
      <c r="G33" s="236">
        <v>9493271</v>
      </c>
    </row>
    <row r="34" spans="1:7" ht="15" customHeight="1">
      <c r="A34" s="234"/>
      <c r="B34" s="235"/>
      <c r="C34" s="77" t="s">
        <v>279</v>
      </c>
      <c r="D34" s="236">
        <v>18000</v>
      </c>
      <c r="E34" s="236">
        <v>60000</v>
      </c>
      <c r="F34" s="236">
        <v>60000</v>
      </c>
      <c r="G34" s="236">
        <v>60000</v>
      </c>
    </row>
    <row r="35" spans="1:7" ht="15" customHeight="1">
      <c r="A35" s="234"/>
      <c r="B35" s="235"/>
      <c r="C35" s="77" t="s">
        <v>282</v>
      </c>
      <c r="D35" s="237">
        <v>360000</v>
      </c>
      <c r="E35" s="237">
        <v>192000</v>
      </c>
      <c r="F35" s="237">
        <v>192000</v>
      </c>
      <c r="G35" s="237">
        <v>192000</v>
      </c>
    </row>
    <row r="36" spans="1:7" s="246" customFormat="1" ht="25.5" customHeight="1">
      <c r="A36" s="238" t="s">
        <v>255</v>
      </c>
      <c r="B36" s="239" t="s">
        <v>262</v>
      </c>
      <c r="C36" s="240" t="s">
        <v>145</v>
      </c>
      <c r="D36" s="241">
        <f>SUM(D37)</f>
        <v>6831692</v>
      </c>
      <c r="E36" s="241">
        <f>SUM(E37:E38)</f>
        <v>8025234</v>
      </c>
      <c r="F36" s="241">
        <f>SUM(F37:F38)</f>
        <v>7625234</v>
      </c>
      <c r="G36" s="241">
        <f>SUM(G37:G38)</f>
        <v>7625234</v>
      </c>
    </row>
    <row r="37" spans="1:7" ht="15" customHeight="1">
      <c r="A37" s="248"/>
      <c r="B37" s="249"/>
      <c r="C37" s="102" t="s">
        <v>278</v>
      </c>
      <c r="D37" s="237">
        <v>6831692</v>
      </c>
      <c r="E37" s="237">
        <v>8025234</v>
      </c>
      <c r="F37" s="237">
        <v>7625234</v>
      </c>
      <c r="G37" s="237">
        <v>7625234</v>
      </c>
    </row>
    <row r="38" spans="1:7" s="246" customFormat="1" ht="15" customHeight="1">
      <c r="A38" s="255"/>
      <c r="B38" s="256"/>
      <c r="C38" s="127" t="s">
        <v>284</v>
      </c>
      <c r="D38" s="257"/>
      <c r="E38" s="257">
        <v>0</v>
      </c>
      <c r="F38" s="257">
        <v>0</v>
      </c>
      <c r="G38" s="257">
        <v>0</v>
      </c>
    </row>
    <row r="39" spans="1:7" s="246" customFormat="1" ht="25.5" customHeight="1">
      <c r="A39" s="258">
        <v>7</v>
      </c>
      <c r="B39" s="239" t="s">
        <v>310</v>
      </c>
      <c r="C39" s="259" t="s">
        <v>313</v>
      </c>
      <c r="D39" s="241">
        <f>SUM(D40)</f>
        <v>6831692</v>
      </c>
      <c r="E39" s="241">
        <f>SUM(E40:E50)</f>
        <v>280809834</v>
      </c>
      <c r="F39" s="241">
        <f>SUM(F40:F50)</f>
        <v>642082203</v>
      </c>
      <c r="G39" s="241">
        <f>SUM(G40:G50)</f>
        <v>684559547</v>
      </c>
    </row>
    <row r="40" spans="1:7" ht="15" customHeight="1">
      <c r="A40" s="248"/>
      <c r="B40" s="249"/>
      <c r="C40" s="102" t="s">
        <v>278</v>
      </c>
      <c r="D40" s="237">
        <v>6831692</v>
      </c>
      <c r="E40" s="237">
        <v>29408203</v>
      </c>
      <c r="F40" s="237">
        <v>25589311</v>
      </c>
      <c r="G40" s="237">
        <v>25562746</v>
      </c>
    </row>
    <row r="41" spans="1:7" ht="15" customHeight="1">
      <c r="A41" s="255"/>
      <c r="B41" s="256"/>
      <c r="C41" s="77" t="s">
        <v>279</v>
      </c>
      <c r="D41" s="257"/>
      <c r="E41" s="257">
        <v>5604181</v>
      </c>
      <c r="F41" s="257">
        <v>7473073</v>
      </c>
      <c r="G41" s="257">
        <v>7499638</v>
      </c>
    </row>
    <row r="42" spans="1:7" ht="15" customHeight="1">
      <c r="A42" s="255"/>
      <c r="B42" s="256"/>
      <c r="C42" s="77" t="s">
        <v>435</v>
      </c>
      <c r="D42" s="257"/>
      <c r="E42" s="257">
        <v>1125000</v>
      </c>
      <c r="F42" s="257">
        <v>1075000</v>
      </c>
      <c r="G42" s="257">
        <v>1075000</v>
      </c>
    </row>
    <row r="43" spans="1:7" ht="15" customHeight="1">
      <c r="A43" s="255"/>
      <c r="B43" s="256"/>
      <c r="C43" s="77" t="s">
        <v>280</v>
      </c>
      <c r="D43" s="257"/>
      <c r="E43" s="257">
        <v>20548</v>
      </c>
      <c r="F43" s="257">
        <v>0</v>
      </c>
      <c r="G43" s="257">
        <v>0</v>
      </c>
    </row>
    <row r="44" spans="1:7" ht="15" customHeight="1">
      <c r="A44" s="255"/>
      <c r="B44" s="256"/>
      <c r="C44" s="77" t="s">
        <v>282</v>
      </c>
      <c r="D44" s="257"/>
      <c r="E44" s="257">
        <v>646369</v>
      </c>
      <c r="F44" s="257">
        <v>655513</v>
      </c>
      <c r="G44" s="257">
        <v>601065</v>
      </c>
    </row>
    <row r="45" spans="1:7" ht="15" customHeight="1">
      <c r="A45" s="255"/>
      <c r="B45" s="256"/>
      <c r="C45" s="77" t="s">
        <v>372</v>
      </c>
      <c r="D45" s="257"/>
      <c r="E45" s="257">
        <v>4726121</v>
      </c>
      <c r="F45" s="257">
        <v>5381005</v>
      </c>
      <c r="G45" s="257">
        <v>5419599</v>
      </c>
    </row>
    <row r="46" spans="1:7" ht="15" customHeight="1">
      <c r="A46" s="255"/>
      <c r="B46" s="256"/>
      <c r="C46" s="77" t="s">
        <v>283</v>
      </c>
      <c r="D46" s="257"/>
      <c r="E46" s="257">
        <v>36000000</v>
      </c>
      <c r="F46" s="257">
        <v>54349889</v>
      </c>
      <c r="G46" s="257">
        <v>60313675</v>
      </c>
    </row>
    <row r="47" spans="1:7" ht="15" customHeight="1">
      <c r="A47" s="255"/>
      <c r="B47" s="256"/>
      <c r="C47" s="272" t="s">
        <v>431</v>
      </c>
      <c r="D47" s="257"/>
      <c r="E47" s="569">
        <v>70000000</v>
      </c>
      <c r="F47" s="569">
        <v>80000000</v>
      </c>
      <c r="G47" s="569">
        <v>75000000</v>
      </c>
    </row>
    <row r="48" spans="1:7" ht="15" customHeight="1">
      <c r="A48" s="255"/>
      <c r="B48" s="256"/>
      <c r="C48" s="272" t="s">
        <v>432</v>
      </c>
      <c r="D48" s="257"/>
      <c r="E48" s="569">
        <v>3500000</v>
      </c>
      <c r="F48" s="569">
        <v>83529412</v>
      </c>
      <c r="G48" s="569">
        <v>126058824</v>
      </c>
    </row>
    <row r="49" spans="1:7" ht="15" customHeight="1">
      <c r="A49" s="255"/>
      <c r="B49" s="256"/>
      <c r="C49" s="272" t="s">
        <v>433</v>
      </c>
      <c r="D49" s="257"/>
      <c r="E49" s="569">
        <v>10750000</v>
      </c>
      <c r="F49" s="569">
        <v>27500000</v>
      </c>
      <c r="G49" s="569">
        <v>26500000</v>
      </c>
    </row>
    <row r="50" spans="1:7" s="246" customFormat="1" ht="15" customHeight="1">
      <c r="A50" s="255"/>
      <c r="B50" s="256"/>
      <c r="C50" s="272" t="s">
        <v>434</v>
      </c>
      <c r="D50" s="257"/>
      <c r="E50" s="569">
        <v>119029412</v>
      </c>
      <c r="F50" s="569">
        <v>356529000</v>
      </c>
      <c r="G50" s="569">
        <v>356529000</v>
      </c>
    </row>
    <row r="51" spans="1:7" s="246" customFormat="1" ht="25.5" customHeight="1">
      <c r="A51" s="258">
        <v>8</v>
      </c>
      <c r="B51" s="239" t="s">
        <v>311</v>
      </c>
      <c r="C51" s="240" t="s">
        <v>312</v>
      </c>
      <c r="D51" s="241">
        <f>SUM(D52)</f>
        <v>6831692</v>
      </c>
      <c r="E51" s="241">
        <f>SUM(E52:E53)</f>
        <v>2056542</v>
      </c>
      <c r="F51" s="241">
        <f>SUM(F52:F53)</f>
        <v>2006542</v>
      </c>
      <c r="G51" s="241">
        <f>SUM(G52:G53)</f>
        <v>2006542</v>
      </c>
    </row>
    <row r="52" spans="1:7" ht="15" customHeight="1">
      <c r="A52" s="248"/>
      <c r="B52" s="249"/>
      <c r="C52" s="102" t="s">
        <v>278</v>
      </c>
      <c r="D52" s="237">
        <v>6831692</v>
      </c>
      <c r="E52" s="237">
        <v>2006542</v>
      </c>
      <c r="F52" s="237">
        <v>2006542</v>
      </c>
      <c r="G52" s="237">
        <v>2006542</v>
      </c>
    </row>
    <row r="53" spans="1:7" ht="15" customHeight="1">
      <c r="A53" s="255"/>
      <c r="B53" s="256"/>
      <c r="C53" s="77" t="s">
        <v>280</v>
      </c>
      <c r="D53" s="257"/>
      <c r="E53" s="257">
        <v>50000</v>
      </c>
      <c r="F53" s="257">
        <v>0</v>
      </c>
      <c r="G53" s="257">
        <v>0</v>
      </c>
    </row>
    <row r="54" spans="1:7" s="263" customFormat="1" ht="33" customHeight="1">
      <c r="A54" s="260"/>
      <c r="B54" s="261" t="s">
        <v>263</v>
      </c>
      <c r="C54" s="227" t="s">
        <v>425</v>
      </c>
      <c r="D54" s="262" t="e">
        <f>D4+D15+#REF!+D22+D24+#REF!+D28+D32+D36</f>
        <v>#REF!</v>
      </c>
      <c r="E54" s="262">
        <f>E4+E15+E22+E24+E28+E32+E36+E39+E51</f>
        <v>2207990429</v>
      </c>
      <c r="F54" s="262">
        <f>F4+F15+F22+F24+F28+F32+F36+F39+F51</f>
        <v>2298631137</v>
      </c>
      <c r="G54" s="262">
        <f>G4+G15+G22+G24+G28+G32+G36+G39+G51</f>
        <v>2322144045</v>
      </c>
    </row>
    <row r="55" spans="1:7">
      <c r="A55" s="264"/>
      <c r="B55" s="265"/>
      <c r="C55" s="266"/>
      <c r="D55" s="41"/>
      <c r="E55" s="41"/>
      <c r="F55" s="41"/>
      <c r="G55" s="41"/>
    </row>
    <row r="56" spans="1:7">
      <c r="A56" s="226"/>
      <c r="C56" s="514" t="s">
        <v>402</v>
      </c>
      <c r="D56" s="225"/>
      <c r="E56" s="184">
        <v>722407631</v>
      </c>
      <c r="F56" s="184">
        <v>351262068</v>
      </c>
      <c r="G56" s="184">
        <v>351721111</v>
      </c>
    </row>
    <row r="57" spans="1:7">
      <c r="C57" s="514" t="s">
        <v>436</v>
      </c>
      <c r="D57" s="225"/>
      <c r="E57" s="184">
        <f>E5+E6+E16+E23+E25+E26+E29+E33+E34+E37+E40+E41++E42+E52</f>
        <v>722407631</v>
      </c>
      <c r="F57" s="184">
        <f>F5+F6+F16+F23+F25+F26+F29+F33+F34+F37+F40+F41++F42+F52</f>
        <v>351262068</v>
      </c>
      <c r="G57" s="184">
        <f>G5+G6+G16+G23+G25+G26+G29+G33+G34+G37+G40+G41++G42+G52</f>
        <v>351721111</v>
      </c>
    </row>
    <row r="58" spans="1:7">
      <c r="E58" s="43"/>
      <c r="F58" s="43"/>
      <c r="G58" s="43"/>
    </row>
    <row r="59" spans="1:7">
      <c r="E59" s="513">
        <f>E56-E57</f>
        <v>0</v>
      </c>
      <c r="F59" s="513">
        <f t="shared" ref="F59:G59" si="4">F56-F57</f>
        <v>0</v>
      </c>
      <c r="G59" s="513">
        <f t="shared" si="4"/>
        <v>0</v>
      </c>
    </row>
  </sheetData>
  <mergeCells count="1">
    <mergeCell ref="A1:G1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93" orientation="landscape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3"/>
  <sheetViews>
    <sheetView zoomScaleNormal="100" zoomScaleSheetLayoutView="120" workbookViewId="0">
      <pane ySplit="14" topLeftCell="A126" activePane="bottomLeft" state="frozen"/>
      <selection pane="bottomLeft" activeCell="K220" sqref="K220"/>
    </sheetView>
  </sheetViews>
  <sheetFormatPr defaultRowHeight="14.25"/>
  <cols>
    <col min="1" max="1" width="9.7109375" style="183" customWidth="1"/>
    <col min="2" max="2" width="50.5703125" style="132" customWidth="1"/>
    <col min="3" max="4" width="5.7109375" style="132" customWidth="1"/>
    <col min="5" max="7" width="16.85546875" style="132" customWidth="1"/>
    <col min="8" max="16384" width="9.140625" style="132"/>
  </cols>
  <sheetData>
    <row r="1" spans="1:7" ht="30" customHeight="1">
      <c r="A1" s="78"/>
      <c r="B1" s="79"/>
      <c r="C1" s="80" t="s">
        <v>220</v>
      </c>
      <c r="D1" s="80" t="s">
        <v>180</v>
      </c>
      <c r="E1" s="80" t="s">
        <v>398</v>
      </c>
      <c r="F1" s="80" t="s">
        <v>399</v>
      </c>
      <c r="G1" s="316" t="s">
        <v>400</v>
      </c>
    </row>
    <row r="2" spans="1:7" ht="25.5" customHeight="1">
      <c r="A2" s="78" t="s">
        <v>185</v>
      </c>
      <c r="B2" s="597" t="s">
        <v>401</v>
      </c>
      <c r="C2" s="598"/>
      <c r="D2" s="81"/>
      <c r="E2" s="81">
        <f>E16+E53+E65+E72+E83+E89+E92+E97+E104+E108+E111+E114+E118+E123+E127+E134+E142+E163+E168+E251+E267+E287+E302+E308+E324+E336+E341+E345+E348</f>
        <v>1834121771</v>
      </c>
      <c r="F2" s="81">
        <f>F16+F53+F65+F72+F83+F89+F92+F97+F104+F108+F111+F114+F118+F123+F127+F134+F142+F163+F168+F251+F267+F287+F302+F308+F324+F336+F341+F345+F348</f>
        <v>1566260110</v>
      </c>
      <c r="G2" s="81">
        <f>G16+G53+G65+G72+G83+G89+G92+G97+G104+G108+G111+G114+G118+G123+G127+G134+G142+G163+G168+G251+G267+G287+G302+G308+G324+G336+G341+G345+G348</f>
        <v>1547295674</v>
      </c>
    </row>
    <row r="3" spans="1:7" ht="15" customHeight="1">
      <c r="A3" s="599"/>
      <c r="B3" s="599"/>
      <c r="C3" s="600"/>
      <c r="D3" s="282">
        <v>11</v>
      </c>
      <c r="E3" s="219">
        <f>E18+E19+E21+E23+E24+E26+E28+E29+E31+E32+E33+E35+E36+E37+E38+E39+E40+E41+E43+E46+E47+E48+E49+E51+E52+E55+E56+E58+E59+E60+E61+E63+E64+E67+E69+E70+E71+E74+E75+E76+E78+E79+E80+E82+E85+E86+E88+E106+E107+E110+E113+E116+E120+E122+E125+E129+E130+E132+E136+E137+E140+E141+E165+E166+E241+E304+E305+E307+E310+E313+E315+E317+E318+E320+E322+E323+E326+E328+E329+E330+E331+E333+E335+E338+E340+E343+E344+E350</f>
        <v>584662411</v>
      </c>
      <c r="F3" s="219">
        <f>F18+F19+F21+F23+F24+F26+F28+F29+F31+F32+F33+F35+F36+F37+F38+F39+F40+F41+F43+F46+F47+F48+F49+F51+F52+F55+F56+F58+F59+F60+F61+F63+F64+F67+F69+F70+F71+F74+F75+F76+F78+F79+F80+F82+F85+F86+F88+F106+F107+F110+F113+F116+F120+F122+F125+F129+F130+F132+F136+F137+F140+F141+F165+F166+F241+F304+F305+F307+F310+F313+F315+F317+F318+F320+F322+F323+F326+F328+F329+F330+F331+F333+F335+F338+F340+F343+F344+F350</f>
        <v>216316492</v>
      </c>
      <c r="G3" s="219">
        <f>G18+G19+G21+G23+G24+G26+G28+G29+G31+G32+G33+G35+G36+G37+G38+G39+G40+G41+G43+G46+G47+G48+G49+G51+G52+G55+G56+G58+G59+G60+G61+G63+G64+G67+G69+G70+G71+G74+G75+G76+G78+G79+G80+G82+G85+G86+G88+G106+G107+G110+G113+G116+G120+G122+G125+G129+G130+G132+G136+G137+G140+G141+G165+G166+G241+G304+G305+G307+G310+G313+G315+G317+G318+G320+G322+G323+G326+G328+G329+G330+G331+G333+G335+G338+G340+G343+G344+G350</f>
        <v>216775535</v>
      </c>
    </row>
    <row r="4" spans="1:7" ht="15" customHeight="1">
      <c r="A4" s="601"/>
      <c r="B4" s="601"/>
      <c r="C4" s="602"/>
      <c r="D4" s="331">
        <v>12</v>
      </c>
      <c r="E4" s="283">
        <f>E99+E101+E138+E144+E147+E149+E151+E153+E155+E158+E161+E170+E172+E174+E177+E179+E182+E184+E186+E188+E191+E193+E195+E198+E200+E202+E204+E206+E208+E210+E213+E216+E218+E220+E222+E230+E233+E244+E246+E253+E254+E258+E262+E264+E269+E274+E276+E280+E284+E289+E292+E296+E299</f>
        <v>12791012</v>
      </c>
      <c r="F4" s="283">
        <f>F99+F101+F138+F144+F147+F149+F151+F153+F155+F158+F161+F170+F172+F174+F177+F179+F182+F184+F186+F188+F191+F193+F195+F198+F200+F202+F204+F206+F208+F210+F213+F216+F218+F220+F222+F230+F233+F244+F246+F253+F254+F258+F262+F264+F269+F274+F276+F280+F284+F289+F292+F296+F299</f>
        <v>13891368</v>
      </c>
      <c r="G4" s="283">
        <f>G99+G101+G138+G144+G147+G149+G151+G153+G155+G158+G161+G170+G172+G174+G177+G179+G182+G184+G186+G188+G191+G193+G195+G198+G200+G202+G204+G206+G208+G210+G213+G216+G218+G220+G222+G230+G233+G244+G246+G253+G254+G258+G262+G264+G269+G274+G276+G280+G284+G289+G292+G296+G299</f>
        <v>13891368</v>
      </c>
    </row>
    <row r="5" spans="1:7" ht="15" customHeight="1">
      <c r="A5" s="601"/>
      <c r="B5" s="601"/>
      <c r="C5" s="602"/>
      <c r="D5" s="285" t="s">
        <v>267</v>
      </c>
      <c r="E5" s="284">
        <f>E3+E4</f>
        <v>597453423</v>
      </c>
      <c r="F5" s="284">
        <f t="shared" ref="F5:G5" si="0">F3+F4</f>
        <v>230207860</v>
      </c>
      <c r="G5" s="284">
        <f t="shared" si="0"/>
        <v>230666903</v>
      </c>
    </row>
    <row r="6" spans="1:7" s="270" customFormat="1" ht="15" customHeight="1">
      <c r="A6" s="601"/>
      <c r="B6" s="601"/>
      <c r="C6" s="602"/>
      <c r="D6" s="281">
        <v>11</v>
      </c>
      <c r="E6" s="279">
        <f>E347+E352+E117</f>
        <v>240132155</v>
      </c>
      <c r="F6" s="279">
        <f>F347+F352+F117</f>
        <v>65000000</v>
      </c>
      <c r="G6" s="279">
        <f>G347+G352+G117</f>
        <v>63000000</v>
      </c>
    </row>
    <row r="7" spans="1:7" s="270" customFormat="1" ht="15" customHeight="1">
      <c r="A7" s="601"/>
      <c r="B7" s="601"/>
      <c r="C7" s="602"/>
      <c r="D7" s="579">
        <v>563</v>
      </c>
      <c r="E7" s="580">
        <f>E249+E250</f>
        <v>418000000</v>
      </c>
      <c r="F7" s="580">
        <f t="shared" ref="F7:G7" si="1">F249+F250</f>
        <v>418000000</v>
      </c>
      <c r="G7" s="580">
        <f t="shared" si="1"/>
        <v>0</v>
      </c>
    </row>
    <row r="8" spans="1:7" s="270" customFormat="1" ht="15" customHeight="1">
      <c r="A8" s="601"/>
      <c r="B8" s="601"/>
      <c r="C8" s="602"/>
      <c r="D8" s="543">
        <v>41</v>
      </c>
      <c r="E8" s="544">
        <f>E133</f>
        <v>468947</v>
      </c>
      <c r="F8" s="544">
        <f t="shared" ref="F8:G8" si="2">F133</f>
        <v>0</v>
      </c>
      <c r="G8" s="544">
        <f t="shared" si="2"/>
        <v>0</v>
      </c>
    </row>
    <row r="9" spans="1:7" ht="15" customHeight="1">
      <c r="A9" s="601"/>
      <c r="B9" s="601"/>
      <c r="C9" s="602"/>
      <c r="D9" s="286">
        <v>43</v>
      </c>
      <c r="E9" s="283">
        <f>E124</f>
        <v>1100000</v>
      </c>
      <c r="F9" s="283">
        <f t="shared" ref="F9:G9" si="3">F124</f>
        <v>1100000</v>
      </c>
      <c r="G9" s="283">
        <f t="shared" si="3"/>
        <v>1100000</v>
      </c>
    </row>
    <row r="10" spans="1:7" ht="15" customHeight="1">
      <c r="A10" s="601"/>
      <c r="B10" s="601"/>
      <c r="C10" s="602"/>
      <c r="D10" s="286">
        <v>51</v>
      </c>
      <c r="E10" s="283">
        <f>E27+E91+E94+E96+E100+E102+E139+E145+E148+E150+E152+E154+E156+E159+E162+E270+E275+E277+E281+E285</f>
        <v>5867246</v>
      </c>
      <c r="F10" s="283">
        <f>F27+F91+F94+F96+F100+F102+F139+F145+F148+F150+F152+F154+F156+F159+F162+F270+F275+F277+F281+F285</f>
        <v>852250</v>
      </c>
      <c r="G10" s="283">
        <f>G27+G91+G94+G96+G100+G102+G139+G145+G148+G150+G152+G154+G156+G159+G162+G270+G275+G277+G281+G285</f>
        <v>802250</v>
      </c>
    </row>
    <row r="11" spans="1:7" ht="15" customHeight="1">
      <c r="A11" s="601"/>
      <c r="B11" s="601"/>
      <c r="C11" s="602"/>
      <c r="D11" s="332" t="str">
        <f t="shared" ref="D11:F11" si="4">D44</f>
        <v>52</v>
      </c>
      <c r="E11" s="283">
        <f>E44</f>
        <v>100000</v>
      </c>
      <c r="F11" s="283">
        <f t="shared" si="4"/>
        <v>100000</v>
      </c>
      <c r="G11" s="283">
        <f>G44</f>
        <v>100000</v>
      </c>
    </row>
    <row r="12" spans="1:7" ht="15" customHeight="1">
      <c r="A12" s="601"/>
      <c r="B12" s="601"/>
      <c r="C12" s="602"/>
      <c r="D12" s="286">
        <v>559</v>
      </c>
      <c r="E12" s="280">
        <f>E271+E273+E278+E282+E286</f>
        <v>0</v>
      </c>
      <c r="F12" s="280">
        <f t="shared" ref="F12:G12" si="5">F271+F273+F278+F282+F286</f>
        <v>0</v>
      </c>
      <c r="G12" s="280">
        <f t="shared" si="5"/>
        <v>0</v>
      </c>
    </row>
    <row r="13" spans="1:7" ht="15" customHeight="1">
      <c r="A13" s="601"/>
      <c r="B13" s="601"/>
      <c r="C13" s="602"/>
      <c r="D13" s="286">
        <v>561</v>
      </c>
      <c r="E13" s="280">
        <f>E256+E260+E266</f>
        <v>19000000</v>
      </c>
      <c r="F13" s="280">
        <f t="shared" ref="F13:G13" si="6">F256+F260+F266</f>
        <v>19000000</v>
      </c>
      <c r="G13" s="280">
        <f t="shared" si="6"/>
        <v>19000000</v>
      </c>
    </row>
    <row r="14" spans="1:7" ht="15" customHeight="1">
      <c r="A14" s="601"/>
      <c r="B14" s="601"/>
      <c r="C14" s="602"/>
      <c r="D14" s="286">
        <v>563</v>
      </c>
      <c r="E14" s="283">
        <f>E171+E173+E175+E178+E180+E183+E185+E187+E189+E192+E194+E196+E199+E201+E203+E205+E207+E209+E211+E214+E217+E219+E221+E223+E225+E227+E228+E231+E234+E236+E237+E239+E242+E245+E247+E290+E294+E297+E300</f>
        <v>552000000</v>
      </c>
      <c r="F14" s="283">
        <f>F171+F173+F175+F178+F180+F183+F185+F187+F189+F192+F194+F196+F199+F201+F203+F205+F207+F209+F211+F214+F217+F219+F221+F223+F225+F227+F228+F231+F234+F236+F237+F239+F242+F245+F247+F290+F294+F297+F300</f>
        <v>832000000</v>
      </c>
      <c r="G14" s="283">
        <f>G171+G173+G175+G178+G180+G183+G185+G187+G189+G192+G194+G196+G199+G201+G203+G205+G207+G209+G211+G214+G217+G219+G221+G223+G225+G227+G228+G231+G234+G236+G237+G239+G242+G245+G247+G290+G294+G297+G300</f>
        <v>1232626521</v>
      </c>
    </row>
    <row r="15" spans="1:7" ht="25.5" customHeight="1">
      <c r="A15" s="594" t="s">
        <v>268</v>
      </c>
      <c r="B15" s="595"/>
      <c r="C15" s="596"/>
      <c r="D15" s="82"/>
      <c r="E15" s="82">
        <f>E16+E53+E65+E72+E83+E89+E92+E97</f>
        <v>91119711</v>
      </c>
      <c r="F15" s="82">
        <f>F16+F53+F65+F72+F83+F89+F92+F97</f>
        <v>88665976</v>
      </c>
      <c r="G15" s="82">
        <f>G16+G53+G65+G72+G83+G89+G92+G97</f>
        <v>88615976</v>
      </c>
    </row>
    <row r="16" spans="1:7">
      <c r="A16" s="527" t="s">
        <v>186</v>
      </c>
      <c r="B16" s="528" t="s">
        <v>187</v>
      </c>
      <c r="C16" s="527" t="s">
        <v>232</v>
      </c>
      <c r="D16" s="327"/>
      <c r="E16" s="327">
        <f>E17+E20+E22+E25+E30+E34+E42+E45+E50</f>
        <v>76444911</v>
      </c>
      <c r="F16" s="327">
        <f>F17+F20+F22+F25+F30+F34+F42+F45+F50</f>
        <v>77726776</v>
      </c>
      <c r="G16" s="327">
        <f>G17+G20+G22+G25+G30+G34+G42+G45+G50</f>
        <v>77726776</v>
      </c>
    </row>
    <row r="17" spans="1:7">
      <c r="A17" s="45" t="s">
        <v>1</v>
      </c>
      <c r="B17" s="46" t="s">
        <v>2</v>
      </c>
      <c r="C17" s="47" t="s">
        <v>232</v>
      </c>
      <c r="D17" s="47" t="s">
        <v>0</v>
      </c>
      <c r="E17" s="48">
        <f>E18+E19</f>
        <v>53679911</v>
      </c>
      <c r="F17" s="48">
        <f t="shared" ref="F17:G17" si="7">F18+F19</f>
        <v>54079911</v>
      </c>
      <c r="G17" s="317">
        <f t="shared" si="7"/>
        <v>54079911</v>
      </c>
    </row>
    <row r="18" spans="1:7">
      <c r="A18" s="62" t="s">
        <v>3</v>
      </c>
      <c r="B18" s="96" t="s">
        <v>4</v>
      </c>
      <c r="C18" s="169" t="s">
        <v>232</v>
      </c>
      <c r="D18" s="169" t="s">
        <v>0</v>
      </c>
      <c r="E18" s="64">
        <v>53579911</v>
      </c>
      <c r="F18" s="64">
        <v>53879911</v>
      </c>
      <c r="G18" s="64">
        <v>53979911</v>
      </c>
    </row>
    <row r="19" spans="1:7">
      <c r="A19" s="62" t="s">
        <v>5</v>
      </c>
      <c r="B19" s="96" t="s">
        <v>6</v>
      </c>
      <c r="C19" s="169" t="s">
        <v>232</v>
      </c>
      <c r="D19" s="169" t="s">
        <v>0</v>
      </c>
      <c r="E19" s="64">
        <v>100000</v>
      </c>
      <c r="F19" s="64">
        <v>200000</v>
      </c>
      <c r="G19" s="64">
        <v>100000</v>
      </c>
    </row>
    <row r="20" spans="1:7">
      <c r="A20" s="45" t="s">
        <v>7</v>
      </c>
      <c r="B20" s="46" t="s">
        <v>8</v>
      </c>
      <c r="C20" s="47" t="s">
        <v>232</v>
      </c>
      <c r="D20" s="47" t="s">
        <v>0</v>
      </c>
      <c r="E20" s="48">
        <f>E21</f>
        <v>1700000</v>
      </c>
      <c r="F20" s="48">
        <f t="shared" ref="F20:G20" si="8">F21</f>
        <v>1700000</v>
      </c>
      <c r="G20" s="317">
        <f t="shared" si="8"/>
        <v>1700000</v>
      </c>
    </row>
    <row r="21" spans="1:7">
      <c r="A21" s="62" t="s">
        <v>9</v>
      </c>
      <c r="B21" s="96" t="s">
        <v>8</v>
      </c>
      <c r="C21" s="169" t="s">
        <v>232</v>
      </c>
      <c r="D21" s="169" t="s">
        <v>0</v>
      </c>
      <c r="E21" s="64">
        <v>1700000</v>
      </c>
      <c r="F21" s="64">
        <v>1700000</v>
      </c>
      <c r="G21" s="64">
        <v>1700000</v>
      </c>
    </row>
    <row r="22" spans="1:7">
      <c r="A22" s="45" t="s">
        <v>10</v>
      </c>
      <c r="B22" s="46" t="s">
        <v>11</v>
      </c>
      <c r="C22" s="47" t="s">
        <v>232</v>
      </c>
      <c r="D22" s="47" t="s">
        <v>0</v>
      </c>
      <c r="E22" s="48">
        <f>E23+E24</f>
        <v>9340000</v>
      </c>
      <c r="F22" s="48">
        <f t="shared" ref="F22:G22" si="9">F23+F24</f>
        <v>9350000</v>
      </c>
      <c r="G22" s="317">
        <f t="shared" si="9"/>
        <v>9350000</v>
      </c>
    </row>
    <row r="23" spans="1:7">
      <c r="A23" s="62" t="s">
        <v>12</v>
      </c>
      <c r="B23" s="96" t="s">
        <v>13</v>
      </c>
      <c r="C23" s="169" t="s">
        <v>232</v>
      </c>
      <c r="D23" s="169" t="s">
        <v>0</v>
      </c>
      <c r="E23" s="64">
        <v>8300000</v>
      </c>
      <c r="F23" s="64">
        <v>8310000</v>
      </c>
      <c r="G23" s="64">
        <v>8310000</v>
      </c>
    </row>
    <row r="24" spans="1:7">
      <c r="A24" s="62" t="s">
        <v>14</v>
      </c>
      <c r="B24" s="96" t="s">
        <v>15</v>
      </c>
      <c r="C24" s="169" t="s">
        <v>232</v>
      </c>
      <c r="D24" s="169" t="s">
        <v>0</v>
      </c>
      <c r="E24" s="64">
        <v>1040000</v>
      </c>
      <c r="F24" s="64">
        <v>1040000</v>
      </c>
      <c r="G24" s="64">
        <v>1040000</v>
      </c>
    </row>
    <row r="25" spans="1:7">
      <c r="A25" s="45" t="s">
        <v>16</v>
      </c>
      <c r="B25" s="46" t="s">
        <v>17</v>
      </c>
      <c r="C25" s="47" t="s">
        <v>232</v>
      </c>
      <c r="D25" s="47" t="s">
        <v>0</v>
      </c>
      <c r="E25" s="48">
        <f t="shared" ref="E25" si="10">SUM(E26:E29)</f>
        <v>4100000</v>
      </c>
      <c r="F25" s="48">
        <f>SUM(F26:F29)</f>
        <v>4380000</v>
      </c>
      <c r="G25" s="317">
        <f>SUM(G26:G29)</f>
        <v>4380000</v>
      </c>
    </row>
    <row r="26" spans="1:7">
      <c r="A26" s="62" t="s">
        <v>18</v>
      </c>
      <c r="B26" s="96" t="s">
        <v>19</v>
      </c>
      <c r="C26" s="169" t="s">
        <v>232</v>
      </c>
      <c r="D26" s="169" t="s">
        <v>0</v>
      </c>
      <c r="E26" s="64">
        <v>1800000</v>
      </c>
      <c r="F26" s="64">
        <v>2000000</v>
      </c>
      <c r="G26" s="64">
        <v>2000000</v>
      </c>
    </row>
    <row r="27" spans="1:7">
      <c r="A27" s="65" t="s">
        <v>18</v>
      </c>
      <c r="B27" s="170" t="s">
        <v>19</v>
      </c>
      <c r="C27" s="171"/>
      <c r="D27" s="171" t="s">
        <v>235</v>
      </c>
      <c r="E27" s="63">
        <v>0</v>
      </c>
      <c r="F27" s="63">
        <v>0</v>
      </c>
      <c r="G27" s="319">
        <v>0</v>
      </c>
    </row>
    <row r="28" spans="1:7">
      <c r="A28" s="62" t="s">
        <v>20</v>
      </c>
      <c r="B28" s="96" t="s">
        <v>21</v>
      </c>
      <c r="C28" s="169" t="s">
        <v>232</v>
      </c>
      <c r="D28" s="169" t="s">
        <v>0</v>
      </c>
      <c r="E28" s="64">
        <v>2200000</v>
      </c>
      <c r="F28" s="64">
        <v>2280000</v>
      </c>
      <c r="G28" s="64">
        <v>2280000</v>
      </c>
    </row>
    <row r="29" spans="1:7">
      <c r="A29" s="62" t="s">
        <v>22</v>
      </c>
      <c r="B29" s="96" t="s">
        <v>23</v>
      </c>
      <c r="C29" s="169" t="s">
        <v>232</v>
      </c>
      <c r="D29" s="169" t="s">
        <v>0</v>
      </c>
      <c r="E29" s="64">
        <v>100000</v>
      </c>
      <c r="F29" s="64">
        <v>100000</v>
      </c>
      <c r="G29" s="64">
        <v>100000</v>
      </c>
    </row>
    <row r="30" spans="1:7">
      <c r="A30" s="45" t="s">
        <v>24</v>
      </c>
      <c r="B30" s="46" t="s">
        <v>25</v>
      </c>
      <c r="C30" s="47" t="s">
        <v>232</v>
      </c>
      <c r="D30" s="47" t="s">
        <v>0</v>
      </c>
      <c r="E30" s="48">
        <f>E31+E32+E33</f>
        <v>1600000</v>
      </c>
      <c r="F30" s="48">
        <f t="shared" ref="F30:G30" si="11">F31+F32+F33</f>
        <v>1900000</v>
      </c>
      <c r="G30" s="48">
        <f t="shared" si="11"/>
        <v>1900000</v>
      </c>
    </row>
    <row r="31" spans="1:7">
      <c r="A31" s="62" t="s">
        <v>26</v>
      </c>
      <c r="B31" s="96" t="s">
        <v>27</v>
      </c>
      <c r="C31" s="169" t="s">
        <v>232</v>
      </c>
      <c r="D31" s="169" t="s">
        <v>0</v>
      </c>
      <c r="E31" s="64">
        <v>1100000</v>
      </c>
      <c r="F31" s="64">
        <v>1130000</v>
      </c>
      <c r="G31" s="64">
        <v>1130000</v>
      </c>
    </row>
    <row r="32" spans="1:7">
      <c r="A32" s="62" t="s">
        <v>28</v>
      </c>
      <c r="B32" s="172" t="s">
        <v>29</v>
      </c>
      <c r="C32" s="169" t="s">
        <v>232</v>
      </c>
      <c r="D32" s="169" t="s">
        <v>0</v>
      </c>
      <c r="E32" s="64">
        <v>400000</v>
      </c>
      <c r="F32" s="64">
        <v>590000</v>
      </c>
      <c r="G32" s="64">
        <v>590000</v>
      </c>
    </row>
    <row r="33" spans="1:7">
      <c r="A33" s="62" t="s">
        <v>32</v>
      </c>
      <c r="B33" s="96" t="s">
        <v>33</v>
      </c>
      <c r="C33" s="169" t="s">
        <v>232</v>
      </c>
      <c r="D33" s="169" t="s">
        <v>0</v>
      </c>
      <c r="E33" s="64">
        <v>100000</v>
      </c>
      <c r="F33" s="64">
        <v>180000</v>
      </c>
      <c r="G33" s="64">
        <v>180000</v>
      </c>
    </row>
    <row r="34" spans="1:7">
      <c r="A34" s="45" t="s">
        <v>34</v>
      </c>
      <c r="B34" s="46" t="s">
        <v>35</v>
      </c>
      <c r="C34" s="47" t="s">
        <v>232</v>
      </c>
      <c r="D34" s="47" t="s">
        <v>0</v>
      </c>
      <c r="E34" s="48">
        <f>E35+E36+E37+E38+E39+E40+E41</f>
        <v>4925000</v>
      </c>
      <c r="F34" s="48">
        <f t="shared" ref="F34:G34" si="12">F35+F36+F37+F38+F39+F40+F41</f>
        <v>5126865</v>
      </c>
      <c r="G34" s="48">
        <f t="shared" si="12"/>
        <v>5126865</v>
      </c>
    </row>
    <row r="35" spans="1:7">
      <c r="A35" s="62" t="s">
        <v>36</v>
      </c>
      <c r="B35" s="96" t="s">
        <v>37</v>
      </c>
      <c r="C35" s="169" t="s">
        <v>232</v>
      </c>
      <c r="D35" s="169" t="s">
        <v>0</v>
      </c>
      <c r="E35" s="64">
        <v>1500000</v>
      </c>
      <c r="F35" s="64">
        <v>2000000</v>
      </c>
      <c r="G35" s="64">
        <v>2000000</v>
      </c>
    </row>
    <row r="36" spans="1:7">
      <c r="A36" s="62" t="s">
        <v>40</v>
      </c>
      <c r="B36" s="96" t="s">
        <v>41</v>
      </c>
      <c r="C36" s="169" t="s">
        <v>232</v>
      </c>
      <c r="D36" s="169" t="s">
        <v>0</v>
      </c>
      <c r="E36" s="64">
        <v>750000</v>
      </c>
      <c r="F36" s="64">
        <v>355000</v>
      </c>
      <c r="G36" s="64">
        <v>355000</v>
      </c>
    </row>
    <row r="37" spans="1:7">
      <c r="A37" s="62" t="s">
        <v>42</v>
      </c>
      <c r="B37" s="96" t="s">
        <v>43</v>
      </c>
      <c r="C37" s="169" t="s">
        <v>232</v>
      </c>
      <c r="D37" s="169" t="s">
        <v>0</v>
      </c>
      <c r="E37" s="64">
        <v>200000</v>
      </c>
      <c r="F37" s="64">
        <v>220000</v>
      </c>
      <c r="G37" s="64">
        <v>220000</v>
      </c>
    </row>
    <row r="38" spans="1:7">
      <c r="A38" s="62" t="s">
        <v>44</v>
      </c>
      <c r="B38" s="96" t="s">
        <v>45</v>
      </c>
      <c r="C38" s="169" t="s">
        <v>232</v>
      </c>
      <c r="D38" s="169" t="s">
        <v>0</v>
      </c>
      <c r="E38" s="64">
        <v>1500000</v>
      </c>
      <c r="F38" s="64">
        <v>1500000</v>
      </c>
      <c r="G38" s="64">
        <v>1500000</v>
      </c>
    </row>
    <row r="39" spans="1:7">
      <c r="A39" s="62" t="s">
        <v>46</v>
      </c>
      <c r="B39" s="96" t="s">
        <v>47</v>
      </c>
      <c r="C39" s="169" t="s">
        <v>232</v>
      </c>
      <c r="D39" s="169" t="s">
        <v>0</v>
      </c>
      <c r="E39" s="64">
        <v>100000</v>
      </c>
      <c r="F39" s="64">
        <v>420000</v>
      </c>
      <c r="G39" s="64">
        <v>420000</v>
      </c>
    </row>
    <row r="40" spans="1:7">
      <c r="A40" s="62" t="s">
        <v>48</v>
      </c>
      <c r="B40" s="96" t="s">
        <v>49</v>
      </c>
      <c r="C40" s="169" t="s">
        <v>232</v>
      </c>
      <c r="D40" s="169" t="s">
        <v>0</v>
      </c>
      <c r="E40" s="64">
        <v>800000</v>
      </c>
      <c r="F40" s="64">
        <v>386865</v>
      </c>
      <c r="G40" s="64">
        <v>386865</v>
      </c>
    </row>
    <row r="41" spans="1:7">
      <c r="A41" s="62" t="s">
        <v>52</v>
      </c>
      <c r="B41" s="96" t="s">
        <v>53</v>
      </c>
      <c r="C41" s="169" t="s">
        <v>232</v>
      </c>
      <c r="D41" s="169" t="s">
        <v>0</v>
      </c>
      <c r="E41" s="64">
        <v>75000</v>
      </c>
      <c r="F41" s="64">
        <v>245000</v>
      </c>
      <c r="G41" s="64">
        <v>245000</v>
      </c>
    </row>
    <row r="42" spans="1:7">
      <c r="A42" s="45" t="s">
        <v>54</v>
      </c>
      <c r="B42" s="46" t="s">
        <v>55</v>
      </c>
      <c r="C42" s="47" t="s">
        <v>232</v>
      </c>
      <c r="D42" s="47" t="s">
        <v>0</v>
      </c>
      <c r="E42" s="48">
        <f>E43+E44</f>
        <v>300000</v>
      </c>
      <c r="F42" s="48">
        <f>F43+F44</f>
        <v>310000</v>
      </c>
      <c r="G42" s="317">
        <f>G43+G44</f>
        <v>310000</v>
      </c>
    </row>
    <row r="43" spans="1:7">
      <c r="A43" s="62" t="s">
        <v>56</v>
      </c>
      <c r="B43" s="96" t="s">
        <v>55</v>
      </c>
      <c r="C43" s="169" t="s">
        <v>232</v>
      </c>
      <c r="D43" s="169" t="s">
        <v>0</v>
      </c>
      <c r="E43" s="64">
        <v>200000</v>
      </c>
      <c r="F43" s="64">
        <v>210000</v>
      </c>
      <c r="G43" s="64">
        <v>210000</v>
      </c>
    </row>
    <row r="44" spans="1:7">
      <c r="A44" s="65">
        <v>3241</v>
      </c>
      <c r="B44" s="170" t="s">
        <v>55</v>
      </c>
      <c r="C44" s="171" t="s">
        <v>233</v>
      </c>
      <c r="D44" s="171" t="s">
        <v>264</v>
      </c>
      <c r="E44" s="63">
        <v>100000</v>
      </c>
      <c r="F44" s="63">
        <v>100000</v>
      </c>
      <c r="G44" s="63">
        <v>100000</v>
      </c>
    </row>
    <row r="45" spans="1:7">
      <c r="A45" s="45" t="s">
        <v>57</v>
      </c>
      <c r="B45" s="46" t="s">
        <v>58</v>
      </c>
      <c r="C45" s="47" t="s">
        <v>232</v>
      </c>
      <c r="D45" s="47" t="s">
        <v>0</v>
      </c>
      <c r="E45" s="48">
        <f>+E46+E47+E48+E49</f>
        <v>700000</v>
      </c>
      <c r="F45" s="48">
        <f t="shared" ref="F45:G45" si="13">+F46+F47+F48+F49</f>
        <v>780000</v>
      </c>
      <c r="G45" s="48">
        <f t="shared" si="13"/>
        <v>780000</v>
      </c>
    </row>
    <row r="46" spans="1:7">
      <c r="A46" s="62" t="s">
        <v>63</v>
      </c>
      <c r="B46" s="96" t="s">
        <v>64</v>
      </c>
      <c r="C46" s="169" t="s">
        <v>232</v>
      </c>
      <c r="D46" s="169" t="s">
        <v>0</v>
      </c>
      <c r="E46" s="64">
        <v>400000</v>
      </c>
      <c r="F46" s="64">
        <v>450000</v>
      </c>
      <c r="G46" s="64">
        <v>450000</v>
      </c>
    </row>
    <row r="47" spans="1:7">
      <c r="A47" s="62" t="s">
        <v>65</v>
      </c>
      <c r="B47" s="96" t="s">
        <v>66</v>
      </c>
      <c r="C47" s="169" t="s">
        <v>232</v>
      </c>
      <c r="D47" s="169" t="s">
        <v>0</v>
      </c>
      <c r="E47" s="64">
        <v>100000</v>
      </c>
      <c r="F47" s="64">
        <v>100000</v>
      </c>
      <c r="G47" s="64">
        <v>100000</v>
      </c>
    </row>
    <row r="48" spans="1:7">
      <c r="A48" s="62" t="s">
        <v>67</v>
      </c>
      <c r="B48" s="96" t="s">
        <v>68</v>
      </c>
      <c r="C48" s="169" t="s">
        <v>232</v>
      </c>
      <c r="D48" s="169" t="s">
        <v>0</v>
      </c>
      <c r="E48" s="64">
        <v>100000</v>
      </c>
      <c r="F48" s="64">
        <v>130000</v>
      </c>
      <c r="G48" s="64">
        <v>130000</v>
      </c>
    </row>
    <row r="49" spans="1:7">
      <c r="A49" s="62" t="s">
        <v>69</v>
      </c>
      <c r="B49" s="96" t="s">
        <v>58</v>
      </c>
      <c r="C49" s="169" t="s">
        <v>232</v>
      </c>
      <c r="D49" s="169" t="s">
        <v>0</v>
      </c>
      <c r="E49" s="64">
        <v>100000</v>
      </c>
      <c r="F49" s="64">
        <v>100000</v>
      </c>
      <c r="G49" s="64">
        <v>100000</v>
      </c>
    </row>
    <row r="50" spans="1:7">
      <c r="A50" s="45" t="s">
        <v>70</v>
      </c>
      <c r="B50" s="46" t="s">
        <v>71</v>
      </c>
      <c r="C50" s="47" t="s">
        <v>232</v>
      </c>
      <c r="D50" s="47" t="s">
        <v>0</v>
      </c>
      <c r="E50" s="48">
        <f>E51+E52</f>
        <v>100000</v>
      </c>
      <c r="F50" s="48">
        <f t="shared" ref="F50:G50" si="14">F51+F52</f>
        <v>100000</v>
      </c>
      <c r="G50" s="48">
        <f t="shared" si="14"/>
        <v>100000</v>
      </c>
    </row>
    <row r="51" spans="1:7">
      <c r="A51" s="62" t="s">
        <v>72</v>
      </c>
      <c r="B51" s="96" t="s">
        <v>73</v>
      </c>
      <c r="C51" s="169" t="s">
        <v>232</v>
      </c>
      <c r="D51" s="169" t="s">
        <v>0</v>
      </c>
      <c r="E51" s="64">
        <v>50000</v>
      </c>
      <c r="F51" s="64">
        <v>50000</v>
      </c>
      <c r="G51" s="64">
        <v>50000</v>
      </c>
    </row>
    <row r="52" spans="1:7">
      <c r="A52" s="62" t="s">
        <v>74</v>
      </c>
      <c r="B52" s="96" t="s">
        <v>75</v>
      </c>
      <c r="C52" s="169" t="s">
        <v>232</v>
      </c>
      <c r="D52" s="169" t="s">
        <v>0</v>
      </c>
      <c r="E52" s="64">
        <v>50000</v>
      </c>
      <c r="F52" s="64">
        <v>50000</v>
      </c>
      <c r="G52" s="64">
        <v>50000</v>
      </c>
    </row>
    <row r="53" spans="1:7">
      <c r="A53" s="527" t="s">
        <v>188</v>
      </c>
      <c r="B53" s="528" t="s">
        <v>87</v>
      </c>
      <c r="C53" s="527" t="s">
        <v>227</v>
      </c>
      <c r="D53" s="327"/>
      <c r="E53" s="327">
        <f>E54+E57+E62</f>
        <v>7030000</v>
      </c>
      <c r="F53" s="327">
        <f>F54+F57+F62</f>
        <v>5550000</v>
      </c>
      <c r="G53" s="327">
        <f>G54+G57+G62</f>
        <v>5550000</v>
      </c>
    </row>
    <row r="54" spans="1:7">
      <c r="A54" s="45" t="s">
        <v>24</v>
      </c>
      <c r="B54" s="46" t="s">
        <v>25</v>
      </c>
      <c r="C54" s="47" t="s">
        <v>227</v>
      </c>
      <c r="D54" s="47" t="s">
        <v>0</v>
      </c>
      <c r="E54" s="48">
        <f>E55+E56</f>
        <v>200000</v>
      </c>
      <c r="F54" s="48">
        <f>F55+F56</f>
        <v>200000</v>
      </c>
      <c r="G54" s="317">
        <f>G55+G56</f>
        <v>200000</v>
      </c>
    </row>
    <row r="55" spans="1:7">
      <c r="A55" s="62" t="s">
        <v>30</v>
      </c>
      <c r="B55" s="96" t="s">
        <v>438</v>
      </c>
      <c r="C55" s="169" t="s">
        <v>227</v>
      </c>
      <c r="D55" s="169" t="s">
        <v>0</v>
      </c>
      <c r="E55" s="64">
        <v>100000</v>
      </c>
      <c r="F55" s="64">
        <v>100000</v>
      </c>
      <c r="G55" s="318">
        <v>100000</v>
      </c>
    </row>
    <row r="56" spans="1:7">
      <c r="A56" s="62" t="s">
        <v>32</v>
      </c>
      <c r="B56" s="96" t="s">
        <v>33</v>
      </c>
      <c r="C56" s="169" t="s">
        <v>227</v>
      </c>
      <c r="D56" s="169" t="s">
        <v>0</v>
      </c>
      <c r="E56" s="64">
        <v>100000</v>
      </c>
      <c r="F56" s="64">
        <v>100000</v>
      </c>
      <c r="G56" s="318">
        <v>100000</v>
      </c>
    </row>
    <row r="57" spans="1:7">
      <c r="A57" s="45" t="s">
        <v>34</v>
      </c>
      <c r="B57" s="46" t="s">
        <v>35</v>
      </c>
      <c r="C57" s="47" t="s">
        <v>227</v>
      </c>
      <c r="D57" s="47" t="s">
        <v>0</v>
      </c>
      <c r="E57" s="48">
        <f>E58+E59+E60+E61</f>
        <v>3830000</v>
      </c>
      <c r="F57" s="48">
        <f t="shared" ref="F57:G57" si="15">F58+F59+F60+F61</f>
        <v>3650000</v>
      </c>
      <c r="G57" s="48">
        <f t="shared" si="15"/>
        <v>3650000</v>
      </c>
    </row>
    <row r="58" spans="1:7">
      <c r="A58" s="62" t="s">
        <v>38</v>
      </c>
      <c r="B58" s="96" t="s">
        <v>39</v>
      </c>
      <c r="C58" s="169" t="s">
        <v>227</v>
      </c>
      <c r="D58" s="169" t="s">
        <v>0</v>
      </c>
      <c r="E58" s="64">
        <v>1000000</v>
      </c>
      <c r="F58" s="64">
        <v>1000000</v>
      </c>
      <c r="G58" s="318">
        <v>1000000</v>
      </c>
    </row>
    <row r="59" spans="1:7">
      <c r="A59" s="62" t="s">
        <v>44</v>
      </c>
      <c r="B59" s="96" t="s">
        <v>45</v>
      </c>
      <c r="C59" s="169" t="s">
        <v>227</v>
      </c>
      <c r="D59" s="169" t="s">
        <v>0</v>
      </c>
      <c r="E59" s="64">
        <v>1600000</v>
      </c>
      <c r="F59" s="64">
        <v>1600000</v>
      </c>
      <c r="G59" s="318">
        <v>1600000</v>
      </c>
    </row>
    <row r="60" spans="1:7">
      <c r="A60" s="62" t="s">
        <v>48</v>
      </c>
      <c r="B60" s="96" t="s">
        <v>49</v>
      </c>
      <c r="C60" s="169" t="s">
        <v>227</v>
      </c>
      <c r="D60" s="169" t="s">
        <v>0</v>
      </c>
      <c r="E60" s="64">
        <v>50000</v>
      </c>
      <c r="F60" s="64">
        <v>50000</v>
      </c>
      <c r="G60" s="318">
        <v>50000</v>
      </c>
    </row>
    <row r="61" spans="1:7">
      <c r="A61" s="62" t="s">
        <v>50</v>
      </c>
      <c r="B61" s="96" t="s">
        <v>51</v>
      </c>
      <c r="C61" s="169" t="s">
        <v>227</v>
      </c>
      <c r="D61" s="169" t="s">
        <v>0</v>
      </c>
      <c r="E61" s="64">
        <v>1180000</v>
      </c>
      <c r="F61" s="64">
        <v>1000000</v>
      </c>
      <c r="G61" s="318">
        <v>1000000</v>
      </c>
    </row>
    <row r="62" spans="1:7">
      <c r="A62" s="45" t="s">
        <v>88</v>
      </c>
      <c r="B62" s="46" t="s">
        <v>89</v>
      </c>
      <c r="C62" s="47" t="s">
        <v>227</v>
      </c>
      <c r="D62" s="47" t="s">
        <v>0</v>
      </c>
      <c r="E62" s="48">
        <f>E63+E64</f>
        <v>3000000</v>
      </c>
      <c r="F62" s="48">
        <f>F63+F64</f>
        <v>1700000</v>
      </c>
      <c r="G62" s="317">
        <f>G63+G64</f>
        <v>1700000</v>
      </c>
    </row>
    <row r="63" spans="1:7">
      <c r="A63" s="62" t="s">
        <v>90</v>
      </c>
      <c r="B63" s="96" t="s">
        <v>91</v>
      </c>
      <c r="C63" s="169" t="s">
        <v>227</v>
      </c>
      <c r="D63" s="169" t="s">
        <v>0</v>
      </c>
      <c r="E63" s="64">
        <v>2750000</v>
      </c>
      <c r="F63" s="64">
        <v>1600000</v>
      </c>
      <c r="G63" s="318">
        <v>1600000</v>
      </c>
    </row>
    <row r="64" spans="1:7">
      <c r="A64" s="62" t="s">
        <v>92</v>
      </c>
      <c r="B64" s="96" t="s">
        <v>93</v>
      </c>
      <c r="C64" s="169" t="s">
        <v>227</v>
      </c>
      <c r="D64" s="169" t="s">
        <v>0</v>
      </c>
      <c r="E64" s="64">
        <v>250000</v>
      </c>
      <c r="F64" s="64">
        <v>100000</v>
      </c>
      <c r="G64" s="318">
        <v>100000</v>
      </c>
    </row>
    <row r="65" spans="1:7">
      <c r="A65" s="527" t="s">
        <v>189</v>
      </c>
      <c r="B65" s="528" t="s">
        <v>190</v>
      </c>
      <c r="C65" s="527" t="s">
        <v>227</v>
      </c>
      <c r="D65" s="327"/>
      <c r="E65" s="327">
        <f>E66+E68</f>
        <v>800000</v>
      </c>
      <c r="F65" s="327">
        <f t="shared" ref="F65:G65" si="16">F66+F68</f>
        <v>660000</v>
      </c>
      <c r="G65" s="327">
        <f t="shared" si="16"/>
        <v>660000</v>
      </c>
    </row>
    <row r="66" spans="1:7">
      <c r="A66" s="45" t="s">
        <v>34</v>
      </c>
      <c r="B66" s="46" t="s">
        <v>35</v>
      </c>
      <c r="C66" s="47" t="s">
        <v>227</v>
      </c>
      <c r="D66" s="47" t="s">
        <v>0</v>
      </c>
      <c r="E66" s="48">
        <f>E67</f>
        <v>400000</v>
      </c>
      <c r="F66" s="48">
        <f>F67</f>
        <v>240000</v>
      </c>
      <c r="G66" s="317">
        <f>G67</f>
        <v>240000</v>
      </c>
    </row>
    <row r="67" spans="1:7">
      <c r="A67" s="62" t="s">
        <v>38</v>
      </c>
      <c r="B67" s="96" t="s">
        <v>39</v>
      </c>
      <c r="C67" s="169" t="s">
        <v>227</v>
      </c>
      <c r="D67" s="169" t="s">
        <v>0</v>
      </c>
      <c r="E67" s="64">
        <v>400000</v>
      </c>
      <c r="F67" s="64">
        <v>240000</v>
      </c>
      <c r="G67" s="318">
        <v>240000</v>
      </c>
    </row>
    <row r="68" spans="1:7">
      <c r="A68" s="45" t="s">
        <v>88</v>
      </c>
      <c r="B68" s="46" t="s">
        <v>89</v>
      </c>
      <c r="C68" s="47" t="s">
        <v>227</v>
      </c>
      <c r="D68" s="47" t="s">
        <v>0</v>
      </c>
      <c r="E68" s="48">
        <f>E69+E70+E71</f>
        <v>400000</v>
      </c>
      <c r="F68" s="48">
        <f t="shared" ref="F68:G68" si="17">F69+F70+F71</f>
        <v>420000</v>
      </c>
      <c r="G68" s="48">
        <f t="shared" si="17"/>
        <v>420000</v>
      </c>
    </row>
    <row r="69" spans="1:7">
      <c r="A69" s="62" t="s">
        <v>90</v>
      </c>
      <c r="B69" s="96" t="s">
        <v>91</v>
      </c>
      <c r="C69" s="169" t="s">
        <v>227</v>
      </c>
      <c r="D69" s="169" t="s">
        <v>0</v>
      </c>
      <c r="E69" s="64">
        <v>100000</v>
      </c>
      <c r="F69" s="64">
        <v>120000</v>
      </c>
      <c r="G69" s="318">
        <v>120000</v>
      </c>
    </row>
    <row r="70" spans="1:7">
      <c r="A70" s="62" t="s">
        <v>92</v>
      </c>
      <c r="B70" s="96" t="s">
        <v>93</v>
      </c>
      <c r="C70" s="169" t="s">
        <v>227</v>
      </c>
      <c r="D70" s="169" t="s">
        <v>0</v>
      </c>
      <c r="E70" s="64">
        <v>60000</v>
      </c>
      <c r="F70" s="64">
        <v>60000</v>
      </c>
      <c r="G70" s="318">
        <v>60000</v>
      </c>
    </row>
    <row r="71" spans="1:7">
      <c r="A71" s="62" t="s">
        <v>94</v>
      </c>
      <c r="B71" s="96" t="s">
        <v>95</v>
      </c>
      <c r="C71" s="169" t="s">
        <v>227</v>
      </c>
      <c r="D71" s="169" t="s">
        <v>0</v>
      </c>
      <c r="E71" s="64">
        <v>240000</v>
      </c>
      <c r="F71" s="64">
        <v>240000</v>
      </c>
      <c r="G71" s="318">
        <v>240000</v>
      </c>
    </row>
    <row r="72" spans="1:7">
      <c r="A72" s="527" t="s">
        <v>191</v>
      </c>
      <c r="B72" s="528" t="s">
        <v>98</v>
      </c>
      <c r="C72" s="527" t="s">
        <v>232</v>
      </c>
      <c r="D72" s="327"/>
      <c r="E72" s="327">
        <f t="shared" ref="E72:G72" si="18">E73+E77+E81</f>
        <v>3320000</v>
      </c>
      <c r="F72" s="327">
        <f t="shared" si="18"/>
        <v>3529200</v>
      </c>
      <c r="G72" s="327">
        <f t="shared" si="18"/>
        <v>3529200</v>
      </c>
    </row>
    <row r="73" spans="1:7">
      <c r="A73" s="45" t="s">
        <v>24</v>
      </c>
      <c r="B73" s="46" t="s">
        <v>25</v>
      </c>
      <c r="C73" s="47" t="s">
        <v>232</v>
      </c>
      <c r="D73" s="47" t="s">
        <v>0</v>
      </c>
      <c r="E73" s="48">
        <f>E74+E75+E76</f>
        <v>1150000</v>
      </c>
      <c r="F73" s="48">
        <f>F74+F75+F76</f>
        <v>1080000</v>
      </c>
      <c r="G73" s="317">
        <f>G74+G75+G76</f>
        <v>1080000</v>
      </c>
    </row>
    <row r="74" spans="1:7">
      <c r="A74" s="62" t="s">
        <v>28</v>
      </c>
      <c r="B74" s="96" t="s">
        <v>29</v>
      </c>
      <c r="C74" s="169" t="s">
        <v>232</v>
      </c>
      <c r="D74" s="169" t="s">
        <v>0</v>
      </c>
      <c r="E74" s="64">
        <v>900000</v>
      </c>
      <c r="F74" s="64">
        <v>800000</v>
      </c>
      <c r="G74" s="318">
        <v>800000</v>
      </c>
    </row>
    <row r="75" spans="1:7">
      <c r="A75" s="62" t="s">
        <v>30</v>
      </c>
      <c r="B75" s="96" t="s">
        <v>438</v>
      </c>
      <c r="C75" s="169" t="s">
        <v>232</v>
      </c>
      <c r="D75" s="169" t="s">
        <v>0</v>
      </c>
      <c r="E75" s="64">
        <v>50000</v>
      </c>
      <c r="F75" s="64">
        <v>60000</v>
      </c>
      <c r="G75" s="318">
        <v>60000</v>
      </c>
    </row>
    <row r="76" spans="1:7">
      <c r="A76" s="62" t="s">
        <v>32</v>
      </c>
      <c r="B76" s="96" t="s">
        <v>33</v>
      </c>
      <c r="C76" s="169" t="s">
        <v>232</v>
      </c>
      <c r="D76" s="169" t="s">
        <v>0</v>
      </c>
      <c r="E76" s="64">
        <v>200000</v>
      </c>
      <c r="F76" s="64">
        <v>220000</v>
      </c>
      <c r="G76" s="318">
        <v>220000</v>
      </c>
    </row>
    <row r="77" spans="1:7">
      <c r="A77" s="45" t="s">
        <v>34</v>
      </c>
      <c r="B77" s="46" t="s">
        <v>35</v>
      </c>
      <c r="C77" s="47" t="s">
        <v>232</v>
      </c>
      <c r="D77" s="47" t="s">
        <v>0</v>
      </c>
      <c r="E77" s="48">
        <f>E78+E79+E80</f>
        <v>2050000</v>
      </c>
      <c r="F77" s="48">
        <f>F78+F79+F80</f>
        <v>2329200</v>
      </c>
      <c r="G77" s="317">
        <f>G78+G79+G80</f>
        <v>2329200</v>
      </c>
    </row>
    <row r="78" spans="1:7">
      <c r="A78" s="62" t="s">
        <v>38</v>
      </c>
      <c r="B78" s="96" t="s">
        <v>39</v>
      </c>
      <c r="C78" s="169" t="s">
        <v>232</v>
      </c>
      <c r="D78" s="169" t="s">
        <v>0</v>
      </c>
      <c r="E78" s="64">
        <v>600000</v>
      </c>
      <c r="F78" s="64">
        <v>600000</v>
      </c>
      <c r="G78" s="318">
        <v>600000</v>
      </c>
    </row>
    <row r="79" spans="1:7">
      <c r="A79" s="62" t="s">
        <v>44</v>
      </c>
      <c r="B79" s="96" t="s">
        <v>45</v>
      </c>
      <c r="C79" s="169" t="s">
        <v>232</v>
      </c>
      <c r="D79" s="169" t="s">
        <v>0</v>
      </c>
      <c r="E79" s="64">
        <v>1400000</v>
      </c>
      <c r="F79" s="64">
        <v>1659200</v>
      </c>
      <c r="G79" s="318">
        <v>1659200</v>
      </c>
    </row>
    <row r="80" spans="1:7">
      <c r="A80" s="62" t="s">
        <v>52</v>
      </c>
      <c r="B80" s="96" t="s">
        <v>53</v>
      </c>
      <c r="C80" s="169" t="s">
        <v>232</v>
      </c>
      <c r="D80" s="169" t="s">
        <v>0</v>
      </c>
      <c r="E80" s="64">
        <v>50000</v>
      </c>
      <c r="F80" s="64">
        <v>70000</v>
      </c>
      <c r="G80" s="318">
        <v>70000</v>
      </c>
    </row>
    <row r="81" spans="1:7">
      <c r="A81" s="45" t="s">
        <v>57</v>
      </c>
      <c r="B81" s="46" t="s">
        <v>58</v>
      </c>
      <c r="C81" s="47" t="s">
        <v>232</v>
      </c>
      <c r="D81" s="47" t="s">
        <v>0</v>
      </c>
      <c r="E81" s="48">
        <f>E82</f>
        <v>120000</v>
      </c>
      <c r="F81" s="48">
        <f>F82</f>
        <v>120000</v>
      </c>
      <c r="G81" s="317">
        <f>G82</f>
        <v>120000</v>
      </c>
    </row>
    <row r="82" spans="1:7">
      <c r="A82" s="62" t="s">
        <v>61</v>
      </c>
      <c r="B82" s="96" t="s">
        <v>62</v>
      </c>
      <c r="C82" s="174" t="s">
        <v>232</v>
      </c>
      <c r="D82" s="174" t="s">
        <v>0</v>
      </c>
      <c r="E82" s="175">
        <v>120000</v>
      </c>
      <c r="F82" s="175">
        <v>120000</v>
      </c>
      <c r="G82" s="321">
        <v>120000</v>
      </c>
    </row>
    <row r="83" spans="1:7">
      <c r="A83" s="527" t="s">
        <v>192</v>
      </c>
      <c r="B83" s="528" t="s">
        <v>193</v>
      </c>
      <c r="C83" s="527" t="s">
        <v>233</v>
      </c>
      <c r="D83" s="327"/>
      <c r="E83" s="327">
        <f>E84+E87</f>
        <v>1050000</v>
      </c>
      <c r="F83" s="327">
        <f t="shared" ref="F83:G83" si="19">F84+F87</f>
        <v>1150000</v>
      </c>
      <c r="G83" s="327">
        <f t="shared" si="19"/>
        <v>1150000</v>
      </c>
    </row>
    <row r="84" spans="1:7">
      <c r="A84" s="45" t="s">
        <v>34</v>
      </c>
      <c r="B84" s="46" t="s">
        <v>35</v>
      </c>
      <c r="C84" s="47" t="s">
        <v>233</v>
      </c>
      <c r="D84" s="47" t="s">
        <v>0</v>
      </c>
      <c r="E84" s="48">
        <f>E85+E86</f>
        <v>1000000</v>
      </c>
      <c r="F84" s="48">
        <f t="shared" ref="F84:G84" si="20">F85+F86</f>
        <v>1100000</v>
      </c>
      <c r="G84" s="48">
        <f t="shared" si="20"/>
        <v>1100000</v>
      </c>
    </row>
    <row r="85" spans="1:7">
      <c r="A85" s="62" t="s">
        <v>48</v>
      </c>
      <c r="B85" s="96" t="s">
        <v>49</v>
      </c>
      <c r="C85" s="174" t="s">
        <v>233</v>
      </c>
      <c r="D85" s="174">
        <v>11</v>
      </c>
      <c r="E85" s="64">
        <v>900000</v>
      </c>
      <c r="F85" s="64">
        <v>1000000</v>
      </c>
      <c r="G85" s="318">
        <v>1000000</v>
      </c>
    </row>
    <row r="86" spans="1:7">
      <c r="A86" s="62">
        <v>3238</v>
      </c>
      <c r="B86" s="96" t="s">
        <v>51</v>
      </c>
      <c r="C86" s="169" t="s">
        <v>233</v>
      </c>
      <c r="D86" s="169" t="s">
        <v>0</v>
      </c>
      <c r="E86" s="64">
        <v>100000</v>
      </c>
      <c r="F86" s="64">
        <v>100000</v>
      </c>
      <c r="G86" s="64">
        <v>100000</v>
      </c>
    </row>
    <row r="87" spans="1:7">
      <c r="A87" s="53" t="s">
        <v>274</v>
      </c>
      <c r="B87" s="54" t="s">
        <v>58</v>
      </c>
      <c r="C87" s="55" t="s">
        <v>233</v>
      </c>
      <c r="D87" s="57">
        <v>11</v>
      </c>
      <c r="E87" s="56">
        <f t="shared" ref="E87:G87" si="21">SUM(E88)</f>
        <v>50000</v>
      </c>
      <c r="F87" s="56">
        <f t="shared" si="21"/>
        <v>50000</v>
      </c>
      <c r="G87" s="322">
        <f t="shared" si="21"/>
        <v>50000</v>
      </c>
    </row>
    <row r="88" spans="1:7">
      <c r="A88" s="176">
        <v>3296</v>
      </c>
      <c r="B88" s="177" t="s">
        <v>106</v>
      </c>
      <c r="C88" s="174" t="s">
        <v>233</v>
      </c>
      <c r="D88" s="174" t="s">
        <v>0</v>
      </c>
      <c r="E88" s="52">
        <v>50000</v>
      </c>
      <c r="F88" s="52">
        <v>50000</v>
      </c>
      <c r="G88" s="52">
        <v>50000</v>
      </c>
    </row>
    <row r="89" spans="1:7">
      <c r="A89" s="527" t="s">
        <v>275</v>
      </c>
      <c r="B89" s="528" t="s">
        <v>266</v>
      </c>
      <c r="C89" s="527" t="s">
        <v>233</v>
      </c>
      <c r="D89" s="327"/>
      <c r="E89" s="327">
        <f t="shared" ref="E89:G90" si="22">E90</f>
        <v>50000</v>
      </c>
      <c r="F89" s="327">
        <f t="shared" si="22"/>
        <v>0</v>
      </c>
      <c r="G89" s="327">
        <f t="shared" si="22"/>
        <v>0</v>
      </c>
    </row>
    <row r="90" spans="1:7">
      <c r="A90" s="45" t="s">
        <v>16</v>
      </c>
      <c r="B90" s="46" t="s">
        <v>17</v>
      </c>
      <c r="C90" s="47" t="s">
        <v>233</v>
      </c>
      <c r="D90" s="47" t="s">
        <v>235</v>
      </c>
      <c r="E90" s="48">
        <f t="shared" si="22"/>
        <v>50000</v>
      </c>
      <c r="F90" s="48">
        <f t="shared" si="22"/>
        <v>0</v>
      </c>
      <c r="G90" s="317">
        <f>G91</f>
        <v>0</v>
      </c>
    </row>
    <row r="91" spans="1:7">
      <c r="A91" s="65" t="s">
        <v>18</v>
      </c>
      <c r="B91" s="170" t="s">
        <v>19</v>
      </c>
      <c r="C91" s="171" t="s">
        <v>233</v>
      </c>
      <c r="D91" s="171" t="s">
        <v>235</v>
      </c>
      <c r="E91" s="63">
        <v>50000</v>
      </c>
      <c r="F91" s="63">
        <v>0</v>
      </c>
      <c r="G91" s="319">
        <v>0</v>
      </c>
    </row>
    <row r="92" spans="1:7">
      <c r="A92" s="527" t="s">
        <v>375</v>
      </c>
      <c r="B92" s="528" t="s">
        <v>374</v>
      </c>
      <c r="C92" s="527" t="s">
        <v>233</v>
      </c>
      <c r="D92" s="327"/>
      <c r="E92" s="327">
        <f>E93+E95</f>
        <v>215000</v>
      </c>
      <c r="F92" s="327">
        <f t="shared" ref="F92:G92" si="23">F93+F95</f>
        <v>50000</v>
      </c>
      <c r="G92" s="327">
        <f t="shared" si="23"/>
        <v>0</v>
      </c>
    </row>
    <row r="93" spans="1:7">
      <c r="A93" s="45" t="s">
        <v>16</v>
      </c>
      <c r="B93" s="46" t="s">
        <v>17</v>
      </c>
      <c r="C93" s="47" t="s">
        <v>233</v>
      </c>
      <c r="D93" s="277" t="str">
        <f t="shared" ref="D93:G93" si="24">D94</f>
        <v>51</v>
      </c>
      <c r="E93" s="48">
        <f>E94</f>
        <v>110000</v>
      </c>
      <c r="F93" s="48">
        <f t="shared" si="24"/>
        <v>30000</v>
      </c>
      <c r="G93" s="317">
        <f t="shared" si="24"/>
        <v>0</v>
      </c>
    </row>
    <row r="94" spans="1:7">
      <c r="A94" s="65" t="s">
        <v>18</v>
      </c>
      <c r="B94" s="170" t="s">
        <v>19</v>
      </c>
      <c r="C94" s="171" t="s">
        <v>233</v>
      </c>
      <c r="D94" s="171" t="s">
        <v>235</v>
      </c>
      <c r="E94" s="63">
        <v>110000</v>
      </c>
      <c r="F94" s="63">
        <v>30000</v>
      </c>
      <c r="G94" s="504"/>
    </row>
    <row r="95" spans="1:7">
      <c r="A95" s="45" t="s">
        <v>34</v>
      </c>
      <c r="B95" s="46" t="s">
        <v>35</v>
      </c>
      <c r="C95" s="47" t="s">
        <v>233</v>
      </c>
      <c r="D95" s="278">
        <v>51</v>
      </c>
      <c r="E95" s="168">
        <f t="shared" ref="E95:G95" si="25">SUM(E96)</f>
        <v>105000</v>
      </c>
      <c r="F95" s="168">
        <f t="shared" si="25"/>
        <v>20000</v>
      </c>
      <c r="G95" s="353">
        <f t="shared" si="25"/>
        <v>0</v>
      </c>
    </row>
    <row r="96" spans="1:7" ht="15.75" customHeight="1">
      <c r="A96" s="65" t="s">
        <v>48</v>
      </c>
      <c r="B96" s="170" t="s">
        <v>49</v>
      </c>
      <c r="C96" s="171" t="s">
        <v>233</v>
      </c>
      <c r="D96" s="171" t="s">
        <v>235</v>
      </c>
      <c r="E96" s="63">
        <v>105000</v>
      </c>
      <c r="F96" s="63">
        <v>20000</v>
      </c>
      <c r="G96" s="505"/>
    </row>
    <row r="97" spans="1:7">
      <c r="A97" s="527" t="s">
        <v>306</v>
      </c>
      <c r="B97" s="528" t="s">
        <v>276</v>
      </c>
      <c r="C97" s="527" t="s">
        <v>233</v>
      </c>
      <c r="D97" s="327"/>
      <c r="E97" s="327">
        <f>E98</f>
        <v>2209800</v>
      </c>
      <c r="F97" s="327">
        <f t="shared" ref="F97:G97" si="26">F98</f>
        <v>0</v>
      </c>
      <c r="G97" s="327">
        <f t="shared" si="26"/>
        <v>0</v>
      </c>
    </row>
    <row r="98" spans="1:7">
      <c r="A98" s="45" t="s">
        <v>34</v>
      </c>
      <c r="B98" s="46" t="s">
        <v>35</v>
      </c>
      <c r="C98" s="178" t="s">
        <v>233</v>
      </c>
      <c r="D98" s="179"/>
      <c r="E98" s="179">
        <f>E101+E102+E99+E100</f>
        <v>2209800</v>
      </c>
      <c r="F98" s="179">
        <f t="shared" ref="F98:G98" si="27">F101+F102+F99+F100</f>
        <v>0</v>
      </c>
      <c r="G98" s="179">
        <f t="shared" si="27"/>
        <v>0</v>
      </c>
    </row>
    <row r="99" spans="1:7">
      <c r="A99" s="62" t="s">
        <v>48</v>
      </c>
      <c r="B99" s="96" t="s">
        <v>49</v>
      </c>
      <c r="C99" s="169" t="s">
        <v>233</v>
      </c>
      <c r="D99" s="169" t="s">
        <v>82</v>
      </c>
      <c r="E99" s="64">
        <v>162832</v>
      </c>
      <c r="F99" s="64">
        <v>0</v>
      </c>
      <c r="G99" s="318">
        <v>0</v>
      </c>
    </row>
    <row r="100" spans="1:7">
      <c r="A100" s="65" t="s">
        <v>48</v>
      </c>
      <c r="B100" s="170" t="s">
        <v>49</v>
      </c>
      <c r="C100" s="171" t="s">
        <v>233</v>
      </c>
      <c r="D100" s="171" t="s">
        <v>235</v>
      </c>
      <c r="E100" s="63">
        <v>1577250</v>
      </c>
      <c r="F100" s="63">
        <v>0</v>
      </c>
      <c r="G100" s="319">
        <v>0</v>
      </c>
    </row>
    <row r="101" spans="1:7" ht="12.75" customHeight="1">
      <c r="A101" s="62">
        <v>3238</v>
      </c>
      <c r="B101" s="96" t="s">
        <v>51</v>
      </c>
      <c r="C101" s="169" t="s">
        <v>233</v>
      </c>
      <c r="D101" s="169" t="s">
        <v>82</v>
      </c>
      <c r="E101" s="64">
        <v>46972</v>
      </c>
      <c r="F101" s="64">
        <v>0</v>
      </c>
      <c r="G101" s="318">
        <v>0</v>
      </c>
    </row>
    <row r="102" spans="1:7">
      <c r="A102" s="65">
        <v>3238</v>
      </c>
      <c r="B102" s="170" t="s">
        <v>51</v>
      </c>
      <c r="C102" s="171" t="s">
        <v>233</v>
      </c>
      <c r="D102" s="171" t="s">
        <v>235</v>
      </c>
      <c r="E102" s="63">
        <v>422746</v>
      </c>
      <c r="F102" s="63">
        <v>0</v>
      </c>
      <c r="G102" s="319">
        <v>0</v>
      </c>
    </row>
    <row r="103" spans="1:7" ht="25.5" customHeight="1">
      <c r="A103" s="603" t="s">
        <v>269</v>
      </c>
      <c r="B103" s="604"/>
      <c r="C103" s="605"/>
      <c r="D103" s="82"/>
      <c r="E103" s="82">
        <f>E104+E108+E111+E114+E118+E123</f>
        <v>533582155</v>
      </c>
      <c r="F103" s="82">
        <f>F104+F108+F111+F114+F118+F123</f>
        <v>84340000</v>
      </c>
      <c r="G103" s="82">
        <f>G104+G108+G111+G114+G118+G123</f>
        <v>89040000</v>
      </c>
    </row>
    <row r="104" spans="1:7">
      <c r="A104" s="527" t="s">
        <v>194</v>
      </c>
      <c r="B104" s="528" t="s">
        <v>195</v>
      </c>
      <c r="C104" s="527" t="s">
        <v>227</v>
      </c>
      <c r="D104" s="327"/>
      <c r="E104" s="327">
        <f>E105</f>
        <v>60000000</v>
      </c>
      <c r="F104" s="327">
        <f t="shared" ref="F104:G104" si="28">F105</f>
        <v>78100000</v>
      </c>
      <c r="G104" s="327">
        <f t="shared" si="28"/>
        <v>85100000</v>
      </c>
    </row>
    <row r="105" spans="1:7">
      <c r="A105" s="45" t="s">
        <v>196</v>
      </c>
      <c r="B105" s="46" t="s">
        <v>444</v>
      </c>
      <c r="C105" s="449" t="s">
        <v>227</v>
      </c>
      <c r="D105" s="449" t="s">
        <v>0</v>
      </c>
      <c r="E105" s="458">
        <f>E106+E107</f>
        <v>60000000</v>
      </c>
      <c r="F105" s="458">
        <f t="shared" ref="F105:G105" si="29">F106+F107</f>
        <v>78100000</v>
      </c>
      <c r="G105" s="458">
        <f t="shared" si="29"/>
        <v>85100000</v>
      </c>
    </row>
    <row r="106" spans="1:7">
      <c r="A106" s="190">
        <v>3522</v>
      </c>
      <c r="B106" s="96" t="s">
        <v>443</v>
      </c>
      <c r="C106" s="456" t="s">
        <v>227</v>
      </c>
      <c r="D106" s="456" t="s">
        <v>0</v>
      </c>
      <c r="E106" s="472">
        <v>58000000</v>
      </c>
      <c r="F106" s="472">
        <v>75100000</v>
      </c>
      <c r="G106" s="473">
        <v>81100000</v>
      </c>
    </row>
    <row r="107" spans="1:7">
      <c r="A107" s="190">
        <v>3523</v>
      </c>
      <c r="B107" s="191" t="s">
        <v>341</v>
      </c>
      <c r="C107" s="49" t="s">
        <v>227</v>
      </c>
      <c r="D107" s="49" t="s">
        <v>0</v>
      </c>
      <c r="E107" s="50">
        <v>2000000</v>
      </c>
      <c r="F107" s="50">
        <v>3000000</v>
      </c>
      <c r="G107" s="320">
        <v>4000000</v>
      </c>
    </row>
    <row r="108" spans="1:7">
      <c r="A108" s="527" t="s">
        <v>199</v>
      </c>
      <c r="B108" s="528" t="s">
        <v>200</v>
      </c>
      <c r="C108" s="527" t="s">
        <v>232</v>
      </c>
      <c r="D108" s="327"/>
      <c r="E108" s="327">
        <f>E109</f>
        <v>3000000</v>
      </c>
      <c r="F108" s="327">
        <f t="shared" ref="E108:G109" si="30">F109</f>
        <v>0</v>
      </c>
      <c r="G108" s="327">
        <f t="shared" si="30"/>
        <v>0</v>
      </c>
    </row>
    <row r="109" spans="1:7">
      <c r="A109" s="45" t="s">
        <v>34</v>
      </c>
      <c r="B109" s="46" t="s">
        <v>35</v>
      </c>
      <c r="C109" s="47" t="s">
        <v>232</v>
      </c>
      <c r="D109" s="47" t="s">
        <v>0</v>
      </c>
      <c r="E109" s="48">
        <f t="shared" si="30"/>
        <v>3000000</v>
      </c>
      <c r="F109" s="48">
        <f t="shared" si="30"/>
        <v>0</v>
      </c>
      <c r="G109" s="317">
        <f t="shared" si="30"/>
        <v>0</v>
      </c>
    </row>
    <row r="110" spans="1:7">
      <c r="A110" s="62" t="s">
        <v>48</v>
      </c>
      <c r="B110" s="96" t="s">
        <v>49</v>
      </c>
      <c r="C110" s="169" t="s">
        <v>232</v>
      </c>
      <c r="D110" s="169" t="s">
        <v>0</v>
      </c>
      <c r="E110" s="64">
        <v>3000000</v>
      </c>
      <c r="F110" s="64">
        <v>0</v>
      </c>
      <c r="G110" s="318">
        <v>0</v>
      </c>
    </row>
    <row r="111" spans="1:7">
      <c r="A111" s="527" t="s">
        <v>201</v>
      </c>
      <c r="B111" s="528" t="s">
        <v>202</v>
      </c>
      <c r="C111" s="527" t="s">
        <v>232</v>
      </c>
      <c r="D111" s="327"/>
      <c r="E111" s="327">
        <f>E112</f>
        <v>5000000</v>
      </c>
      <c r="F111" s="327">
        <f t="shared" ref="E111:G112" si="31">F112</f>
        <v>0</v>
      </c>
      <c r="G111" s="327">
        <f t="shared" si="31"/>
        <v>0</v>
      </c>
    </row>
    <row r="112" spans="1:7" ht="15" customHeight="1">
      <c r="A112" s="45" t="s">
        <v>196</v>
      </c>
      <c r="B112" s="46" t="s">
        <v>444</v>
      </c>
      <c r="C112" s="47" t="s">
        <v>232</v>
      </c>
      <c r="D112" s="47" t="s">
        <v>0</v>
      </c>
      <c r="E112" s="48">
        <f t="shared" si="31"/>
        <v>5000000</v>
      </c>
      <c r="F112" s="48">
        <f t="shared" si="31"/>
        <v>0</v>
      </c>
      <c r="G112" s="317">
        <f t="shared" si="31"/>
        <v>0</v>
      </c>
    </row>
    <row r="113" spans="1:7">
      <c r="A113" s="62" t="s">
        <v>197</v>
      </c>
      <c r="B113" s="96" t="s">
        <v>443</v>
      </c>
      <c r="C113" s="169" t="s">
        <v>232</v>
      </c>
      <c r="D113" s="169" t="s">
        <v>0</v>
      </c>
      <c r="E113" s="64">
        <v>5000000</v>
      </c>
      <c r="F113" s="64">
        <v>0</v>
      </c>
      <c r="G113" s="318">
        <v>0</v>
      </c>
    </row>
    <row r="114" spans="1:7">
      <c r="A114" s="527" t="s">
        <v>203</v>
      </c>
      <c r="B114" s="528" t="s">
        <v>204</v>
      </c>
      <c r="C114" s="527" t="s">
        <v>232</v>
      </c>
      <c r="D114" s="327"/>
      <c r="E114" s="327">
        <f>E115</f>
        <v>461532155</v>
      </c>
      <c r="F114" s="327">
        <f>F115</f>
        <v>0</v>
      </c>
      <c r="G114" s="327">
        <f>G115</f>
        <v>0</v>
      </c>
    </row>
    <row r="115" spans="1:7">
      <c r="A115" s="45" t="s">
        <v>196</v>
      </c>
      <c r="B115" s="46" t="s">
        <v>444</v>
      </c>
      <c r="C115" s="47" t="s">
        <v>232</v>
      </c>
      <c r="D115" s="47" t="s">
        <v>0</v>
      </c>
      <c r="E115" s="48">
        <f>E116+E117</f>
        <v>461532155</v>
      </c>
      <c r="F115" s="48">
        <f t="shared" ref="F115:G115" si="32">F116+F117</f>
        <v>0</v>
      </c>
      <c r="G115" s="317">
        <f t="shared" si="32"/>
        <v>0</v>
      </c>
    </row>
    <row r="116" spans="1:7">
      <c r="A116" s="62" t="s">
        <v>197</v>
      </c>
      <c r="B116" s="96" t="s">
        <v>443</v>
      </c>
      <c r="C116" s="169" t="s">
        <v>232</v>
      </c>
      <c r="D116" s="169" t="s">
        <v>0</v>
      </c>
      <c r="E116" s="64">
        <v>378800000</v>
      </c>
      <c r="F116" s="64">
        <v>0</v>
      </c>
      <c r="G116" s="318">
        <v>0</v>
      </c>
    </row>
    <row r="117" spans="1:7">
      <c r="A117" s="271">
        <v>5445</v>
      </c>
      <c r="B117" s="581" t="s">
        <v>300</v>
      </c>
      <c r="C117" s="169" t="s">
        <v>232</v>
      </c>
      <c r="D117" s="169" t="s">
        <v>0</v>
      </c>
      <c r="E117" s="166">
        <v>82732155</v>
      </c>
      <c r="F117" s="166">
        <v>0</v>
      </c>
      <c r="G117" s="166">
        <v>0</v>
      </c>
    </row>
    <row r="118" spans="1:7">
      <c r="A118" s="527" t="s">
        <v>205</v>
      </c>
      <c r="B118" s="528" t="s">
        <v>206</v>
      </c>
      <c r="C118" s="527" t="s">
        <v>233</v>
      </c>
      <c r="D118" s="327"/>
      <c r="E118" s="327">
        <f>E121+E119</f>
        <v>2000000</v>
      </c>
      <c r="F118" s="327">
        <f t="shared" ref="F118:G118" si="33">F121+F119</f>
        <v>3290000</v>
      </c>
      <c r="G118" s="327">
        <f t="shared" si="33"/>
        <v>1990000</v>
      </c>
    </row>
    <row r="119" spans="1:7">
      <c r="A119" s="495" t="s">
        <v>34</v>
      </c>
      <c r="B119" s="496" t="s">
        <v>35</v>
      </c>
      <c r="C119" s="497" t="s">
        <v>233</v>
      </c>
      <c r="D119" s="497" t="s">
        <v>0</v>
      </c>
      <c r="E119" s="498">
        <f>SUM(E120)</f>
        <v>0</v>
      </c>
      <c r="F119" s="498">
        <f t="shared" ref="F119:G119" si="34">SUM(F120)</f>
        <v>0</v>
      </c>
      <c r="G119" s="498">
        <f t="shared" si="34"/>
        <v>0</v>
      </c>
    </row>
    <row r="120" spans="1:7">
      <c r="A120" s="500">
        <v>3239</v>
      </c>
      <c r="B120" s="501" t="s">
        <v>419</v>
      </c>
      <c r="C120" s="364" t="s">
        <v>233</v>
      </c>
      <c r="D120" s="352" t="s">
        <v>0</v>
      </c>
      <c r="E120" s="365">
        <v>0</v>
      </c>
      <c r="F120" s="365">
        <v>0</v>
      </c>
      <c r="G120" s="365">
        <v>0</v>
      </c>
    </row>
    <row r="121" spans="1:7" ht="14.25" customHeight="1">
      <c r="A121" s="350" t="s">
        <v>57</v>
      </c>
      <c r="B121" s="351" t="s">
        <v>58</v>
      </c>
      <c r="C121" s="352" t="s">
        <v>233</v>
      </c>
      <c r="D121" s="352" t="s">
        <v>0</v>
      </c>
      <c r="E121" s="353">
        <f>E122</f>
        <v>2000000</v>
      </c>
      <c r="F121" s="353">
        <f>F122</f>
        <v>3290000</v>
      </c>
      <c r="G121" s="502">
        <f>G122</f>
        <v>1990000</v>
      </c>
    </row>
    <row r="122" spans="1:7" ht="14.25" customHeight="1">
      <c r="A122" s="369" t="s">
        <v>65</v>
      </c>
      <c r="B122" s="367" t="s">
        <v>66</v>
      </c>
      <c r="C122" s="370" t="s">
        <v>233</v>
      </c>
      <c r="D122" s="370" t="s">
        <v>0</v>
      </c>
      <c r="E122" s="371">
        <v>2000000</v>
      </c>
      <c r="F122" s="371">
        <v>3290000</v>
      </c>
      <c r="G122" s="383">
        <v>1990000</v>
      </c>
    </row>
    <row r="123" spans="1:7" ht="14.25" customHeight="1">
      <c r="A123" s="527" t="s">
        <v>415</v>
      </c>
      <c r="B123" s="528" t="s">
        <v>414</v>
      </c>
      <c r="C123" s="527" t="s">
        <v>423</v>
      </c>
      <c r="D123" s="327"/>
      <c r="E123" s="327">
        <f>SUM(E124)+E125</f>
        <v>2050000</v>
      </c>
      <c r="F123" s="327">
        <f t="shared" ref="F123:G123" si="35">SUM(F124)+F125</f>
        <v>2950000</v>
      </c>
      <c r="G123" s="327">
        <f t="shared" si="35"/>
        <v>1950000</v>
      </c>
    </row>
    <row r="124" spans="1:7" ht="13.5" customHeight="1">
      <c r="A124" s="503">
        <v>3291</v>
      </c>
      <c r="B124" s="494" t="s">
        <v>422</v>
      </c>
      <c r="C124" s="370" t="s">
        <v>423</v>
      </c>
      <c r="D124" s="370" t="s">
        <v>216</v>
      </c>
      <c r="E124" s="371">
        <v>1100000</v>
      </c>
      <c r="F124" s="371">
        <v>1100000</v>
      </c>
      <c r="G124" s="383">
        <v>1100000</v>
      </c>
    </row>
    <row r="125" spans="1:7" ht="14.25" customHeight="1">
      <c r="A125" s="503">
        <v>3237</v>
      </c>
      <c r="B125" s="494" t="s">
        <v>49</v>
      </c>
      <c r="C125" s="370" t="s">
        <v>423</v>
      </c>
      <c r="D125" s="370" t="s">
        <v>0</v>
      </c>
      <c r="E125" s="371">
        <v>950000</v>
      </c>
      <c r="F125" s="371">
        <v>1850000</v>
      </c>
      <c r="G125" s="383">
        <v>850000</v>
      </c>
    </row>
    <row r="126" spans="1:7" ht="25.5" customHeight="1">
      <c r="A126" s="606" t="s">
        <v>270</v>
      </c>
      <c r="B126" s="607"/>
      <c r="C126" s="608"/>
      <c r="D126" s="499"/>
      <c r="E126" s="499">
        <f>E127+E134+E142+E163</f>
        <v>10483947</v>
      </c>
      <c r="F126" s="499">
        <f t="shared" ref="F126:G126" si="36">F127+F134+F142+F163</f>
        <v>6965000</v>
      </c>
      <c r="G126" s="499">
        <f t="shared" si="36"/>
        <v>6965000</v>
      </c>
    </row>
    <row r="127" spans="1:7">
      <c r="A127" s="527" t="s">
        <v>208</v>
      </c>
      <c r="B127" s="528" t="s">
        <v>209</v>
      </c>
      <c r="C127" s="527" t="s">
        <v>227</v>
      </c>
      <c r="D127" s="327"/>
      <c r="E127" s="327">
        <f>E128+E131</f>
        <v>1718947</v>
      </c>
      <c r="F127" s="327">
        <f t="shared" ref="F127:G127" si="37">F128+F131</f>
        <v>2000000</v>
      </c>
      <c r="G127" s="327">
        <f t="shared" si="37"/>
        <v>2000000</v>
      </c>
    </row>
    <row r="128" spans="1:7">
      <c r="A128" s="45" t="s">
        <v>34</v>
      </c>
      <c r="B128" s="46" t="s">
        <v>35</v>
      </c>
      <c r="C128" s="47" t="s">
        <v>227</v>
      </c>
      <c r="D128" s="47" t="s">
        <v>0</v>
      </c>
      <c r="E128" s="48">
        <f>E130+E129</f>
        <v>450000</v>
      </c>
      <c r="F128" s="48">
        <f t="shared" ref="F128:G128" si="38">F130+F129</f>
        <v>500000</v>
      </c>
      <c r="G128" s="48">
        <f t="shared" si="38"/>
        <v>500000</v>
      </c>
    </row>
    <row r="129" spans="1:7">
      <c r="A129" s="471">
        <v>3237</v>
      </c>
      <c r="B129" s="470" t="s">
        <v>49</v>
      </c>
      <c r="C129" s="456" t="s">
        <v>227</v>
      </c>
      <c r="D129" s="456" t="s">
        <v>0</v>
      </c>
      <c r="E129" s="472">
        <v>350000</v>
      </c>
      <c r="F129" s="472">
        <v>350000</v>
      </c>
      <c r="G129" s="473">
        <v>350000</v>
      </c>
    </row>
    <row r="130" spans="1:7">
      <c r="A130" s="62" t="s">
        <v>50</v>
      </c>
      <c r="B130" s="96" t="s">
        <v>51</v>
      </c>
      <c r="C130" s="169" t="s">
        <v>227</v>
      </c>
      <c r="D130" s="169" t="s">
        <v>0</v>
      </c>
      <c r="E130" s="64">
        <v>100000</v>
      </c>
      <c r="F130" s="64">
        <v>150000</v>
      </c>
      <c r="G130" s="318">
        <v>150000</v>
      </c>
    </row>
    <row r="131" spans="1:7">
      <c r="A131" s="45" t="s">
        <v>78</v>
      </c>
      <c r="B131" s="46" t="s">
        <v>79</v>
      </c>
      <c r="C131" s="47" t="s">
        <v>227</v>
      </c>
      <c r="D131" s="47" t="s">
        <v>0</v>
      </c>
      <c r="E131" s="48">
        <f>E132+E133</f>
        <v>1268947</v>
      </c>
      <c r="F131" s="48">
        <f t="shared" ref="F131:G131" si="39">F132+F133</f>
        <v>1500000</v>
      </c>
      <c r="G131" s="48">
        <f t="shared" si="39"/>
        <v>1500000</v>
      </c>
    </row>
    <row r="132" spans="1:7">
      <c r="A132" s="62" t="s">
        <v>80</v>
      </c>
      <c r="B132" s="96" t="s">
        <v>81</v>
      </c>
      <c r="C132" s="169" t="s">
        <v>227</v>
      </c>
      <c r="D132" s="169" t="s">
        <v>0</v>
      </c>
      <c r="E132" s="64">
        <v>800000</v>
      </c>
      <c r="F132" s="64">
        <v>1500000</v>
      </c>
      <c r="G132" s="318">
        <v>1500000</v>
      </c>
    </row>
    <row r="133" spans="1:7">
      <c r="A133" s="474">
        <v>3811</v>
      </c>
      <c r="B133" s="96" t="s">
        <v>81</v>
      </c>
      <c r="C133" s="475" t="s">
        <v>227</v>
      </c>
      <c r="D133" s="475" t="s">
        <v>449</v>
      </c>
      <c r="E133" s="453">
        <v>468947</v>
      </c>
      <c r="F133" s="453">
        <v>0</v>
      </c>
      <c r="G133" s="454">
        <v>0</v>
      </c>
    </row>
    <row r="134" spans="1:7">
      <c r="A134" s="527" t="s">
        <v>210</v>
      </c>
      <c r="B134" s="528" t="s">
        <v>211</v>
      </c>
      <c r="C134" s="527" t="s">
        <v>233</v>
      </c>
      <c r="D134" s="327"/>
      <c r="E134" s="327">
        <f>E135</f>
        <v>4700000</v>
      </c>
      <c r="F134" s="327">
        <f t="shared" ref="F134:G134" si="40">F135</f>
        <v>800000</v>
      </c>
      <c r="G134" s="327">
        <f t="shared" si="40"/>
        <v>800000</v>
      </c>
    </row>
    <row r="135" spans="1:7">
      <c r="A135" s="45" t="s">
        <v>34</v>
      </c>
      <c r="B135" s="46" t="s">
        <v>35</v>
      </c>
      <c r="C135" s="47" t="s">
        <v>233</v>
      </c>
      <c r="D135" s="47" t="s">
        <v>0</v>
      </c>
      <c r="E135" s="48">
        <f>E137+E140+E141+E136+E138+E139</f>
        <v>4700000</v>
      </c>
      <c r="F135" s="48">
        <f t="shared" ref="F135:G135" si="41">F137+F140+F141+F136+F138+F139</f>
        <v>800000</v>
      </c>
      <c r="G135" s="48">
        <f t="shared" si="41"/>
        <v>800000</v>
      </c>
    </row>
    <row r="136" spans="1:7">
      <c r="A136" s="62" t="s">
        <v>40</v>
      </c>
      <c r="B136" s="96" t="s">
        <v>41</v>
      </c>
      <c r="C136" s="169" t="s">
        <v>233</v>
      </c>
      <c r="D136" s="169" t="s">
        <v>0</v>
      </c>
      <c r="E136" s="50">
        <v>200000</v>
      </c>
      <c r="F136" s="50">
        <v>100000</v>
      </c>
      <c r="G136" s="320">
        <v>100000</v>
      </c>
    </row>
    <row r="137" spans="1:7">
      <c r="A137" s="62" t="s">
        <v>48</v>
      </c>
      <c r="B137" s="96" t="s">
        <v>49</v>
      </c>
      <c r="C137" s="169" t="s">
        <v>233</v>
      </c>
      <c r="D137" s="169" t="s">
        <v>0</v>
      </c>
      <c r="E137" s="64">
        <v>100000</v>
      </c>
      <c r="F137" s="64">
        <v>300000</v>
      </c>
      <c r="G137" s="318">
        <v>300000</v>
      </c>
    </row>
    <row r="138" spans="1:7">
      <c r="A138" s="474">
        <v>3237</v>
      </c>
      <c r="B138" s="96" t="s">
        <v>49</v>
      </c>
      <c r="C138" s="475" t="s">
        <v>233</v>
      </c>
      <c r="D138" s="475" t="s">
        <v>82</v>
      </c>
      <c r="E138" s="453">
        <v>500000</v>
      </c>
      <c r="F138" s="453">
        <v>0</v>
      </c>
      <c r="G138" s="454">
        <v>0</v>
      </c>
    </row>
    <row r="139" spans="1:7">
      <c r="A139" s="484">
        <v>3237</v>
      </c>
      <c r="B139" s="170" t="s">
        <v>49</v>
      </c>
      <c r="C139" s="485" t="s">
        <v>233</v>
      </c>
      <c r="D139" s="485" t="s">
        <v>235</v>
      </c>
      <c r="E139" s="486">
        <v>2800000</v>
      </c>
      <c r="F139" s="486">
        <v>0</v>
      </c>
      <c r="G139" s="459">
        <v>0</v>
      </c>
    </row>
    <row r="140" spans="1:7">
      <c r="A140" s="62" t="s">
        <v>50</v>
      </c>
      <c r="B140" s="96" t="s">
        <v>51</v>
      </c>
      <c r="C140" s="169" t="s">
        <v>233</v>
      </c>
      <c r="D140" s="169" t="s">
        <v>0</v>
      </c>
      <c r="E140" s="64">
        <v>850000</v>
      </c>
      <c r="F140" s="64">
        <v>100000</v>
      </c>
      <c r="G140" s="318">
        <v>100000</v>
      </c>
    </row>
    <row r="141" spans="1:7">
      <c r="A141" s="62" t="s">
        <v>52</v>
      </c>
      <c r="B141" s="96" t="s">
        <v>53</v>
      </c>
      <c r="C141" s="169" t="s">
        <v>233</v>
      </c>
      <c r="D141" s="169" t="s">
        <v>0</v>
      </c>
      <c r="E141" s="64">
        <v>250000</v>
      </c>
      <c r="F141" s="64">
        <v>300000</v>
      </c>
      <c r="G141" s="318">
        <v>300000</v>
      </c>
    </row>
    <row r="142" spans="1:7" ht="15" customHeight="1">
      <c r="A142" s="527" t="s">
        <v>212</v>
      </c>
      <c r="B142" s="528" t="s">
        <v>213</v>
      </c>
      <c r="C142" s="527" t="s">
        <v>233</v>
      </c>
      <c r="D142" s="327"/>
      <c r="E142" s="327">
        <f>E143+E146+E157+E160</f>
        <v>665000</v>
      </c>
      <c r="F142" s="327">
        <f>F143+F146+F157+F160</f>
        <v>665000</v>
      </c>
      <c r="G142" s="327">
        <f>G143+G146+G157+G160</f>
        <v>665000</v>
      </c>
    </row>
    <row r="143" spans="1:7">
      <c r="A143" s="45" t="s">
        <v>16</v>
      </c>
      <c r="B143" s="46" t="s">
        <v>17</v>
      </c>
      <c r="C143" s="47" t="s">
        <v>233</v>
      </c>
      <c r="D143" s="47"/>
      <c r="E143" s="48">
        <f t="shared" ref="E143:G143" si="42">E144+E145</f>
        <v>100000</v>
      </c>
      <c r="F143" s="48">
        <f t="shared" si="42"/>
        <v>100000</v>
      </c>
      <c r="G143" s="317">
        <f t="shared" si="42"/>
        <v>100000</v>
      </c>
    </row>
    <row r="144" spans="1:7">
      <c r="A144" s="62" t="s">
        <v>18</v>
      </c>
      <c r="B144" s="96" t="s">
        <v>19</v>
      </c>
      <c r="C144" s="169" t="s">
        <v>233</v>
      </c>
      <c r="D144" s="169" t="s">
        <v>82</v>
      </c>
      <c r="E144" s="64">
        <v>35000</v>
      </c>
      <c r="F144" s="64">
        <v>35000</v>
      </c>
      <c r="G144" s="318">
        <v>35000</v>
      </c>
    </row>
    <row r="145" spans="1:7">
      <c r="A145" s="65" t="s">
        <v>18</v>
      </c>
      <c r="B145" s="170" t="s">
        <v>19</v>
      </c>
      <c r="C145" s="171" t="s">
        <v>233</v>
      </c>
      <c r="D145" s="171" t="s">
        <v>235</v>
      </c>
      <c r="E145" s="63">
        <v>65000</v>
      </c>
      <c r="F145" s="63">
        <v>65000</v>
      </c>
      <c r="G145" s="319">
        <v>65000</v>
      </c>
    </row>
    <row r="146" spans="1:7">
      <c r="A146" s="45" t="s">
        <v>34</v>
      </c>
      <c r="B146" s="46" t="s">
        <v>35</v>
      </c>
      <c r="C146" s="47" t="s">
        <v>233</v>
      </c>
      <c r="D146" s="48"/>
      <c r="E146" s="48">
        <f t="shared" ref="E146:G146" si="43">+E147+E148+E149+E150+E151+E152+E153+E154+E155+E156</f>
        <v>435000</v>
      </c>
      <c r="F146" s="48">
        <f t="shared" si="43"/>
        <v>435000</v>
      </c>
      <c r="G146" s="48">
        <f t="shared" si="43"/>
        <v>435000</v>
      </c>
    </row>
    <row r="147" spans="1:7">
      <c r="A147" s="62" t="s">
        <v>40</v>
      </c>
      <c r="B147" s="96" t="s">
        <v>41</v>
      </c>
      <c r="C147" s="169" t="s">
        <v>233</v>
      </c>
      <c r="D147" s="169" t="s">
        <v>82</v>
      </c>
      <c r="E147" s="64">
        <v>31500</v>
      </c>
      <c r="F147" s="64">
        <v>31500</v>
      </c>
      <c r="G147" s="318">
        <v>31500</v>
      </c>
    </row>
    <row r="148" spans="1:7">
      <c r="A148" s="65" t="s">
        <v>40</v>
      </c>
      <c r="B148" s="170" t="s">
        <v>41</v>
      </c>
      <c r="C148" s="171" t="s">
        <v>233</v>
      </c>
      <c r="D148" s="171" t="s">
        <v>235</v>
      </c>
      <c r="E148" s="63">
        <v>58500</v>
      </c>
      <c r="F148" s="63">
        <v>58500</v>
      </c>
      <c r="G148" s="319">
        <v>58500</v>
      </c>
    </row>
    <row r="149" spans="1:7">
      <c r="A149" s="62" t="s">
        <v>44</v>
      </c>
      <c r="B149" s="96" t="s">
        <v>45</v>
      </c>
      <c r="C149" s="169" t="s">
        <v>233</v>
      </c>
      <c r="D149" s="169" t="s">
        <v>82</v>
      </c>
      <c r="E149" s="64">
        <v>17500</v>
      </c>
      <c r="F149" s="64">
        <v>17500</v>
      </c>
      <c r="G149" s="318">
        <v>17500</v>
      </c>
    </row>
    <row r="150" spans="1:7">
      <c r="A150" s="65" t="s">
        <v>44</v>
      </c>
      <c r="B150" s="170" t="s">
        <v>45</v>
      </c>
      <c r="C150" s="171" t="s">
        <v>233</v>
      </c>
      <c r="D150" s="171" t="s">
        <v>235</v>
      </c>
      <c r="E150" s="63">
        <v>32500</v>
      </c>
      <c r="F150" s="63">
        <v>32500</v>
      </c>
      <c r="G150" s="319">
        <v>32500</v>
      </c>
    </row>
    <row r="151" spans="1:7">
      <c r="A151" s="62" t="s">
        <v>48</v>
      </c>
      <c r="B151" s="96" t="s">
        <v>49</v>
      </c>
      <c r="C151" s="169" t="s">
        <v>233</v>
      </c>
      <c r="D151" s="169" t="s">
        <v>82</v>
      </c>
      <c r="E151" s="64">
        <v>84000</v>
      </c>
      <c r="F151" s="64">
        <v>84000</v>
      </c>
      <c r="G151" s="318">
        <v>84000</v>
      </c>
    </row>
    <row r="152" spans="1:7">
      <c r="A152" s="65" t="s">
        <v>48</v>
      </c>
      <c r="B152" s="170" t="s">
        <v>49</v>
      </c>
      <c r="C152" s="171" t="s">
        <v>233</v>
      </c>
      <c r="D152" s="171" t="s">
        <v>235</v>
      </c>
      <c r="E152" s="63">
        <v>156000</v>
      </c>
      <c r="F152" s="63">
        <v>156000</v>
      </c>
      <c r="G152" s="319">
        <v>156000</v>
      </c>
    </row>
    <row r="153" spans="1:7">
      <c r="A153" s="62" t="s">
        <v>50</v>
      </c>
      <c r="B153" s="96" t="s">
        <v>51</v>
      </c>
      <c r="C153" s="169" t="s">
        <v>233</v>
      </c>
      <c r="D153" s="169" t="s">
        <v>82</v>
      </c>
      <c r="E153" s="64">
        <v>5250</v>
      </c>
      <c r="F153" s="64">
        <v>5250</v>
      </c>
      <c r="G153" s="318">
        <v>5250</v>
      </c>
    </row>
    <row r="154" spans="1:7">
      <c r="A154" s="65" t="s">
        <v>50</v>
      </c>
      <c r="B154" s="170" t="s">
        <v>51</v>
      </c>
      <c r="C154" s="171" t="s">
        <v>233</v>
      </c>
      <c r="D154" s="171" t="s">
        <v>235</v>
      </c>
      <c r="E154" s="63">
        <v>9750</v>
      </c>
      <c r="F154" s="63">
        <v>9750</v>
      </c>
      <c r="G154" s="319">
        <v>9750</v>
      </c>
    </row>
    <row r="155" spans="1:7">
      <c r="A155" s="62" t="s">
        <v>52</v>
      </c>
      <c r="B155" s="96" t="s">
        <v>53</v>
      </c>
      <c r="C155" s="169" t="s">
        <v>233</v>
      </c>
      <c r="D155" s="169" t="s">
        <v>82</v>
      </c>
      <c r="E155" s="64">
        <v>14000</v>
      </c>
      <c r="F155" s="64">
        <v>14000</v>
      </c>
      <c r="G155" s="318">
        <v>14000</v>
      </c>
    </row>
    <row r="156" spans="1:7" ht="15.75" customHeight="1">
      <c r="A156" s="65" t="s">
        <v>52</v>
      </c>
      <c r="B156" s="170" t="s">
        <v>53</v>
      </c>
      <c r="C156" s="171" t="s">
        <v>233</v>
      </c>
      <c r="D156" s="171" t="s">
        <v>235</v>
      </c>
      <c r="E156" s="63">
        <v>26000</v>
      </c>
      <c r="F156" s="63">
        <v>26000</v>
      </c>
      <c r="G156" s="319">
        <v>26000</v>
      </c>
    </row>
    <row r="157" spans="1:7">
      <c r="A157" s="45" t="s">
        <v>57</v>
      </c>
      <c r="B157" s="46" t="s">
        <v>58</v>
      </c>
      <c r="C157" s="47" t="s">
        <v>233</v>
      </c>
      <c r="D157" s="47"/>
      <c r="E157" s="48">
        <f t="shared" ref="E157:G157" si="44">E158+E159</f>
        <v>105000</v>
      </c>
      <c r="F157" s="48">
        <f t="shared" si="44"/>
        <v>105000</v>
      </c>
      <c r="G157" s="317">
        <f t="shared" si="44"/>
        <v>105000</v>
      </c>
    </row>
    <row r="158" spans="1:7">
      <c r="A158" s="62" t="s">
        <v>63</v>
      </c>
      <c r="B158" s="96" t="s">
        <v>64</v>
      </c>
      <c r="C158" s="169" t="s">
        <v>233</v>
      </c>
      <c r="D158" s="169" t="s">
        <v>82</v>
      </c>
      <c r="E158" s="64">
        <v>36750</v>
      </c>
      <c r="F158" s="64">
        <v>36750</v>
      </c>
      <c r="G158" s="318">
        <v>36750</v>
      </c>
    </row>
    <row r="159" spans="1:7">
      <c r="A159" s="65" t="s">
        <v>63</v>
      </c>
      <c r="B159" s="170" t="s">
        <v>64</v>
      </c>
      <c r="C159" s="171" t="s">
        <v>233</v>
      </c>
      <c r="D159" s="171" t="s">
        <v>235</v>
      </c>
      <c r="E159" s="63">
        <v>68250</v>
      </c>
      <c r="F159" s="63">
        <v>68250</v>
      </c>
      <c r="G159" s="319">
        <v>68250</v>
      </c>
    </row>
    <row r="160" spans="1:7">
      <c r="A160" s="45" t="s">
        <v>88</v>
      </c>
      <c r="B160" s="46" t="s">
        <v>89</v>
      </c>
      <c r="C160" s="47" t="s">
        <v>233</v>
      </c>
      <c r="D160" s="47"/>
      <c r="E160" s="48">
        <f t="shared" ref="E160:G160" si="45">E161+E162</f>
        <v>25000</v>
      </c>
      <c r="F160" s="48">
        <f t="shared" si="45"/>
        <v>25000</v>
      </c>
      <c r="G160" s="317">
        <f t="shared" si="45"/>
        <v>25000</v>
      </c>
    </row>
    <row r="161" spans="1:7" ht="15.75" customHeight="1">
      <c r="A161" s="62" t="s">
        <v>90</v>
      </c>
      <c r="B161" s="96" t="s">
        <v>91</v>
      </c>
      <c r="C161" s="169" t="s">
        <v>233</v>
      </c>
      <c r="D161" s="169" t="s">
        <v>82</v>
      </c>
      <c r="E161" s="64">
        <v>8750</v>
      </c>
      <c r="F161" s="64">
        <v>8750</v>
      </c>
      <c r="G161" s="318">
        <v>8750</v>
      </c>
    </row>
    <row r="162" spans="1:7">
      <c r="A162" s="65" t="s">
        <v>90</v>
      </c>
      <c r="B162" s="170" t="s">
        <v>91</v>
      </c>
      <c r="C162" s="171" t="s">
        <v>233</v>
      </c>
      <c r="D162" s="171" t="s">
        <v>235</v>
      </c>
      <c r="E162" s="63">
        <v>16250</v>
      </c>
      <c r="F162" s="63">
        <v>16250</v>
      </c>
      <c r="G162" s="319">
        <v>16250</v>
      </c>
    </row>
    <row r="163" spans="1:7">
      <c r="A163" s="585" t="s">
        <v>465</v>
      </c>
      <c r="B163" s="528" t="s">
        <v>453</v>
      </c>
      <c r="C163" s="527"/>
      <c r="D163" s="327"/>
      <c r="E163" s="327">
        <f>E164</f>
        <v>3400000</v>
      </c>
      <c r="F163" s="327">
        <f t="shared" ref="F163:G163" si="46">F164</f>
        <v>3500000</v>
      </c>
      <c r="G163" s="327">
        <f t="shared" si="46"/>
        <v>3500000</v>
      </c>
    </row>
    <row r="164" spans="1:7">
      <c r="A164" s="45" t="s">
        <v>34</v>
      </c>
      <c r="B164" s="46" t="s">
        <v>35</v>
      </c>
      <c r="C164" s="475"/>
      <c r="D164" s="460" t="s">
        <v>0</v>
      </c>
      <c r="E164" s="450">
        <f>E165+E166</f>
        <v>3400000</v>
      </c>
      <c r="F164" s="450">
        <f t="shared" ref="F164:G164" si="47">F165+F166</f>
        <v>3500000</v>
      </c>
      <c r="G164" s="450">
        <f t="shared" si="47"/>
        <v>3500000</v>
      </c>
    </row>
    <row r="165" spans="1:7">
      <c r="A165" s="62" t="s">
        <v>40</v>
      </c>
      <c r="B165" s="96" t="s">
        <v>41</v>
      </c>
      <c r="C165" s="475"/>
      <c r="D165" s="475" t="s">
        <v>0</v>
      </c>
      <c r="E165" s="453">
        <v>2400000</v>
      </c>
      <c r="F165" s="453">
        <v>3000000</v>
      </c>
      <c r="G165" s="453">
        <v>3000000</v>
      </c>
    </row>
    <row r="166" spans="1:7">
      <c r="A166" s="62" t="s">
        <v>48</v>
      </c>
      <c r="B166" s="96" t="s">
        <v>49</v>
      </c>
      <c r="C166" s="169"/>
      <c r="D166" s="169" t="s">
        <v>0</v>
      </c>
      <c r="E166" s="64">
        <v>1000000</v>
      </c>
      <c r="F166" s="64">
        <v>500000</v>
      </c>
      <c r="G166" s="64">
        <v>500000</v>
      </c>
    </row>
    <row r="167" spans="1:7" ht="25.5" customHeight="1">
      <c r="A167" s="594" t="s">
        <v>271</v>
      </c>
      <c r="B167" s="595"/>
      <c r="C167" s="596"/>
      <c r="D167" s="82"/>
      <c r="E167" s="82">
        <f>E168+E251+E267+E287</f>
        <v>1004718458</v>
      </c>
      <c r="F167" s="82">
        <f>F168+F251+F267+F287</f>
        <v>1283028618</v>
      </c>
      <c r="G167" s="82">
        <f>G168+G251+G267+G287</f>
        <v>1265655139</v>
      </c>
    </row>
    <row r="168" spans="1:7">
      <c r="A168" s="527" t="s">
        <v>214</v>
      </c>
      <c r="B168" s="528" t="s">
        <v>215</v>
      </c>
      <c r="C168" s="527" t="s">
        <v>233</v>
      </c>
      <c r="D168" s="327"/>
      <c r="E168" s="327">
        <f>E169+E176+E181+E190+E197+E212+E215+E224+E226+E229+E232+E238+E235+E240+E243+E248</f>
        <v>978818303</v>
      </c>
      <c r="F168" s="327">
        <f t="shared" ref="F168:G168" si="48">F169+F176+F181+F190+F197+F212+F215+F224+F226+F229+F232+F238+F235+F240+F243+F248</f>
        <v>1259999618</v>
      </c>
      <c r="G168" s="327">
        <f t="shared" si="48"/>
        <v>1242626139</v>
      </c>
    </row>
    <row r="169" spans="1:7">
      <c r="A169" s="45" t="s">
        <v>1</v>
      </c>
      <c r="B169" s="46" t="s">
        <v>2</v>
      </c>
      <c r="C169" s="47" t="s">
        <v>233</v>
      </c>
      <c r="D169" s="47"/>
      <c r="E169" s="48">
        <f>E170+E171+E172+E173+E174+E175</f>
        <v>14296784</v>
      </c>
      <c r="F169" s="48">
        <f t="shared" ref="F169:G169" si="49">F170+F171+F172+F173+F174+F175</f>
        <v>14296784</v>
      </c>
      <c r="G169" s="48">
        <f t="shared" si="49"/>
        <v>14296784</v>
      </c>
    </row>
    <row r="170" spans="1:7">
      <c r="A170" s="62" t="s">
        <v>3</v>
      </c>
      <c r="B170" s="96" t="s">
        <v>4</v>
      </c>
      <c r="C170" s="169" t="s">
        <v>233</v>
      </c>
      <c r="D170" s="169" t="s">
        <v>82</v>
      </c>
      <c r="E170" s="64">
        <v>2107380</v>
      </c>
      <c r="F170" s="64">
        <v>2107380</v>
      </c>
      <c r="G170" s="64">
        <v>2107380</v>
      </c>
    </row>
    <row r="171" spans="1:7">
      <c r="A171" s="65" t="s">
        <v>3</v>
      </c>
      <c r="B171" s="170" t="s">
        <v>4</v>
      </c>
      <c r="C171" s="171" t="s">
        <v>233</v>
      </c>
      <c r="D171" s="171" t="s">
        <v>234</v>
      </c>
      <c r="E171" s="63">
        <v>11941824</v>
      </c>
      <c r="F171" s="63">
        <v>11941824</v>
      </c>
      <c r="G171" s="63">
        <v>11941824</v>
      </c>
    </row>
    <row r="172" spans="1:7">
      <c r="A172" s="62">
        <v>3113</v>
      </c>
      <c r="B172" s="96" t="s">
        <v>6</v>
      </c>
      <c r="C172" s="169" t="s">
        <v>233</v>
      </c>
      <c r="D172" s="169" t="s">
        <v>82</v>
      </c>
      <c r="E172" s="64">
        <v>7500</v>
      </c>
      <c r="F172" s="64">
        <v>7500</v>
      </c>
      <c r="G172" s="64">
        <v>7500</v>
      </c>
    </row>
    <row r="173" spans="1:7">
      <c r="A173" s="65">
        <v>3113</v>
      </c>
      <c r="B173" s="170" t="s">
        <v>6</v>
      </c>
      <c r="C173" s="171" t="s">
        <v>233</v>
      </c>
      <c r="D173" s="171" t="s">
        <v>234</v>
      </c>
      <c r="E173" s="63">
        <v>42500</v>
      </c>
      <c r="F173" s="63">
        <v>42500</v>
      </c>
      <c r="G173" s="63">
        <v>42500</v>
      </c>
    </row>
    <row r="174" spans="1:7">
      <c r="A174" s="62">
        <v>3121</v>
      </c>
      <c r="B174" s="96" t="s">
        <v>8</v>
      </c>
      <c r="C174" s="169" t="s">
        <v>233</v>
      </c>
      <c r="D174" s="169" t="s">
        <v>82</v>
      </c>
      <c r="E174" s="64">
        <v>29637</v>
      </c>
      <c r="F174" s="64">
        <v>29637</v>
      </c>
      <c r="G174" s="64">
        <v>29637</v>
      </c>
    </row>
    <row r="175" spans="1:7">
      <c r="A175" s="65">
        <v>3121</v>
      </c>
      <c r="B175" s="170" t="s">
        <v>8</v>
      </c>
      <c r="C175" s="171" t="s">
        <v>233</v>
      </c>
      <c r="D175" s="171" t="s">
        <v>234</v>
      </c>
      <c r="E175" s="63">
        <v>167943</v>
      </c>
      <c r="F175" s="63">
        <v>167943</v>
      </c>
      <c r="G175" s="63">
        <v>167943</v>
      </c>
    </row>
    <row r="176" spans="1:7">
      <c r="A176" s="45" t="s">
        <v>10</v>
      </c>
      <c r="B176" s="46" t="s">
        <v>11</v>
      </c>
      <c r="C176" s="47" t="s">
        <v>233</v>
      </c>
      <c r="D176" s="47"/>
      <c r="E176" s="48">
        <f>E177+E178+E179+E180</f>
        <v>2427276</v>
      </c>
      <c r="F176" s="48">
        <f t="shared" ref="F176:G176" si="50">F177+F178+F179+F180</f>
        <v>2427276</v>
      </c>
      <c r="G176" s="317">
        <f t="shared" si="50"/>
        <v>2427276</v>
      </c>
    </row>
    <row r="177" spans="1:7">
      <c r="A177" s="62" t="s">
        <v>12</v>
      </c>
      <c r="B177" s="96" t="s">
        <v>13</v>
      </c>
      <c r="C177" s="169" t="s">
        <v>233</v>
      </c>
      <c r="D177" s="169" t="s">
        <v>82</v>
      </c>
      <c r="E177" s="64">
        <v>326644</v>
      </c>
      <c r="F177" s="64">
        <v>326644</v>
      </c>
      <c r="G177" s="64">
        <v>326644</v>
      </c>
    </row>
    <row r="178" spans="1:7">
      <c r="A178" s="65" t="s">
        <v>12</v>
      </c>
      <c r="B178" s="170" t="s">
        <v>13</v>
      </c>
      <c r="C178" s="171" t="s">
        <v>233</v>
      </c>
      <c r="D178" s="171" t="s">
        <v>234</v>
      </c>
      <c r="E178" s="63">
        <v>1850984</v>
      </c>
      <c r="F178" s="63">
        <v>1850984</v>
      </c>
      <c r="G178" s="63">
        <v>1850984</v>
      </c>
    </row>
    <row r="179" spans="1:7">
      <c r="A179" s="62" t="s">
        <v>14</v>
      </c>
      <c r="B179" s="96" t="s">
        <v>15</v>
      </c>
      <c r="C179" s="169" t="s">
        <v>233</v>
      </c>
      <c r="D179" s="169" t="s">
        <v>82</v>
      </c>
      <c r="E179" s="64">
        <v>37447</v>
      </c>
      <c r="F179" s="64">
        <v>37447</v>
      </c>
      <c r="G179" s="64">
        <v>37447</v>
      </c>
    </row>
    <row r="180" spans="1:7">
      <c r="A180" s="65" t="s">
        <v>14</v>
      </c>
      <c r="B180" s="170" t="s">
        <v>15</v>
      </c>
      <c r="C180" s="171" t="s">
        <v>233</v>
      </c>
      <c r="D180" s="171" t="s">
        <v>234</v>
      </c>
      <c r="E180" s="63">
        <v>212201</v>
      </c>
      <c r="F180" s="63">
        <v>212201</v>
      </c>
      <c r="G180" s="63">
        <v>212201</v>
      </c>
    </row>
    <row r="181" spans="1:7">
      <c r="A181" s="45" t="s">
        <v>16</v>
      </c>
      <c r="B181" s="46" t="s">
        <v>17</v>
      </c>
      <c r="C181" s="47" t="s">
        <v>233</v>
      </c>
      <c r="D181" s="47"/>
      <c r="E181" s="48">
        <f>E182+E183+E186+E187+E184+E185+E188+E189</f>
        <v>2771240</v>
      </c>
      <c r="F181" s="48">
        <f t="shared" ref="F181:G181" si="51">F182+F183+F186+F187+F184+F185+F188+F189</f>
        <v>2871400</v>
      </c>
      <c r="G181" s="48">
        <f t="shared" si="51"/>
        <v>2871400</v>
      </c>
    </row>
    <row r="182" spans="1:7">
      <c r="A182" s="62" t="s">
        <v>18</v>
      </c>
      <c r="B182" s="96" t="s">
        <v>19</v>
      </c>
      <c r="C182" s="169" t="s">
        <v>233</v>
      </c>
      <c r="D182" s="169" t="s">
        <v>82</v>
      </c>
      <c r="E182" s="64">
        <v>128320</v>
      </c>
      <c r="F182" s="64">
        <v>228480</v>
      </c>
      <c r="G182" s="64">
        <v>228480</v>
      </c>
    </row>
    <row r="183" spans="1:7">
      <c r="A183" s="65" t="s">
        <v>18</v>
      </c>
      <c r="B183" s="170" t="s">
        <v>19</v>
      </c>
      <c r="C183" s="171" t="s">
        <v>233</v>
      </c>
      <c r="D183" s="171" t="s">
        <v>234</v>
      </c>
      <c r="E183" s="63">
        <v>1294720</v>
      </c>
      <c r="F183" s="63">
        <v>1294720</v>
      </c>
      <c r="G183" s="63">
        <v>1294720</v>
      </c>
    </row>
    <row r="184" spans="1:7" ht="15" customHeight="1">
      <c r="A184" s="62">
        <v>3212</v>
      </c>
      <c r="B184" s="96" t="s">
        <v>21</v>
      </c>
      <c r="C184" s="169" t="s">
        <v>233</v>
      </c>
      <c r="D184" s="169" t="s">
        <v>82</v>
      </c>
      <c r="E184" s="64">
        <v>64680</v>
      </c>
      <c r="F184" s="64">
        <v>64680</v>
      </c>
      <c r="G184" s="318">
        <v>64680</v>
      </c>
    </row>
    <row r="185" spans="1:7">
      <c r="A185" s="65">
        <v>3212</v>
      </c>
      <c r="B185" s="170" t="s">
        <v>21</v>
      </c>
      <c r="C185" s="171" t="s">
        <v>233</v>
      </c>
      <c r="D185" s="171" t="s">
        <v>234</v>
      </c>
      <c r="E185" s="63">
        <v>366520</v>
      </c>
      <c r="F185" s="63">
        <v>366520</v>
      </c>
      <c r="G185" s="63">
        <v>366520</v>
      </c>
    </row>
    <row r="186" spans="1:7" ht="15" customHeight="1">
      <c r="A186" s="62">
        <v>3213</v>
      </c>
      <c r="B186" s="96" t="s">
        <v>23</v>
      </c>
      <c r="C186" s="169" t="s">
        <v>233</v>
      </c>
      <c r="D186" s="169" t="s">
        <v>82</v>
      </c>
      <c r="E186" s="64">
        <v>136950</v>
      </c>
      <c r="F186" s="64">
        <v>136950</v>
      </c>
      <c r="G186" s="318">
        <v>136950</v>
      </c>
    </row>
    <row r="187" spans="1:7">
      <c r="A187" s="65">
        <v>3213</v>
      </c>
      <c r="B187" s="170" t="s">
        <v>23</v>
      </c>
      <c r="C187" s="171" t="s">
        <v>233</v>
      </c>
      <c r="D187" s="171" t="s">
        <v>234</v>
      </c>
      <c r="E187" s="63">
        <v>776050</v>
      </c>
      <c r="F187" s="63">
        <v>776050</v>
      </c>
      <c r="G187" s="63">
        <v>776050</v>
      </c>
    </row>
    <row r="188" spans="1:7">
      <c r="A188" s="474">
        <v>3214</v>
      </c>
      <c r="B188" s="470" t="s">
        <v>162</v>
      </c>
      <c r="C188" s="475" t="s">
        <v>233</v>
      </c>
      <c r="D188" s="475" t="s">
        <v>82</v>
      </c>
      <c r="E188" s="453">
        <v>600</v>
      </c>
      <c r="F188" s="453">
        <v>600</v>
      </c>
      <c r="G188" s="453">
        <v>600</v>
      </c>
    </row>
    <row r="189" spans="1:7" ht="15" customHeight="1">
      <c r="A189" s="484">
        <v>3214</v>
      </c>
      <c r="B189" s="490" t="s">
        <v>162</v>
      </c>
      <c r="C189" s="485"/>
      <c r="D189" s="485" t="s">
        <v>234</v>
      </c>
      <c r="E189" s="486">
        <v>3400</v>
      </c>
      <c r="F189" s="486">
        <v>3400</v>
      </c>
      <c r="G189" s="486">
        <v>3400</v>
      </c>
    </row>
    <row r="190" spans="1:7" ht="15" customHeight="1">
      <c r="A190" s="45" t="s">
        <v>24</v>
      </c>
      <c r="B190" s="46" t="s">
        <v>25</v>
      </c>
      <c r="C190" s="169" t="s">
        <v>233</v>
      </c>
      <c r="D190" s="47"/>
      <c r="E190" s="48">
        <f>E191+E192+E193+E194+E195+E196</f>
        <v>390000</v>
      </c>
      <c r="F190" s="48">
        <f t="shared" ref="F190:G190" si="52">F191+F192+F193+F194+F195+F196</f>
        <v>390000</v>
      </c>
      <c r="G190" s="48">
        <f t="shared" si="52"/>
        <v>390000</v>
      </c>
    </row>
    <row r="191" spans="1:7" ht="15" customHeight="1">
      <c r="A191" s="62" t="s">
        <v>26</v>
      </c>
      <c r="B191" s="96" t="s">
        <v>27</v>
      </c>
      <c r="C191" s="169" t="s">
        <v>233</v>
      </c>
      <c r="D191" s="169" t="s">
        <v>82</v>
      </c>
      <c r="E191" s="64">
        <v>39000</v>
      </c>
      <c r="F191" s="64">
        <v>39000</v>
      </c>
      <c r="G191" s="318">
        <v>39000</v>
      </c>
    </row>
    <row r="192" spans="1:7" ht="15" customHeight="1">
      <c r="A192" s="65" t="s">
        <v>26</v>
      </c>
      <c r="B192" s="170" t="s">
        <v>27</v>
      </c>
      <c r="C192" s="171" t="s">
        <v>233</v>
      </c>
      <c r="D192" s="171" t="s">
        <v>234</v>
      </c>
      <c r="E192" s="63">
        <v>221000</v>
      </c>
      <c r="F192" s="63">
        <v>221000</v>
      </c>
      <c r="G192" s="63">
        <v>221000</v>
      </c>
    </row>
    <row r="193" spans="1:7" ht="15" customHeight="1">
      <c r="A193" s="62">
        <v>3223</v>
      </c>
      <c r="B193" s="96" t="s">
        <v>29</v>
      </c>
      <c r="C193" s="169" t="s">
        <v>233</v>
      </c>
      <c r="D193" s="169" t="s">
        <v>82</v>
      </c>
      <c r="E193" s="64">
        <v>18000</v>
      </c>
      <c r="F193" s="64">
        <v>18000</v>
      </c>
      <c r="G193" s="318">
        <v>18000</v>
      </c>
    </row>
    <row r="194" spans="1:7">
      <c r="A194" s="65">
        <v>3223</v>
      </c>
      <c r="B194" s="170" t="s">
        <v>29</v>
      </c>
      <c r="C194" s="171" t="s">
        <v>233</v>
      </c>
      <c r="D194" s="171" t="s">
        <v>234</v>
      </c>
      <c r="E194" s="63">
        <v>102000</v>
      </c>
      <c r="F194" s="63">
        <v>102000</v>
      </c>
      <c r="G194" s="63">
        <v>102000</v>
      </c>
    </row>
    <row r="195" spans="1:7">
      <c r="A195" s="62">
        <v>3224</v>
      </c>
      <c r="B195" s="96" t="s">
        <v>438</v>
      </c>
      <c r="C195" s="169" t="s">
        <v>233</v>
      </c>
      <c r="D195" s="169" t="s">
        <v>82</v>
      </c>
      <c r="E195" s="64">
        <v>1500</v>
      </c>
      <c r="F195" s="64">
        <v>1500</v>
      </c>
      <c r="G195" s="318">
        <v>1500</v>
      </c>
    </row>
    <row r="196" spans="1:7">
      <c r="A196" s="65">
        <v>3224</v>
      </c>
      <c r="B196" s="170" t="s">
        <v>438</v>
      </c>
      <c r="C196" s="171" t="s">
        <v>233</v>
      </c>
      <c r="D196" s="171" t="s">
        <v>234</v>
      </c>
      <c r="E196" s="63">
        <v>8500</v>
      </c>
      <c r="F196" s="63">
        <v>8500</v>
      </c>
      <c r="G196" s="63">
        <v>8500</v>
      </c>
    </row>
    <row r="197" spans="1:7">
      <c r="A197" s="45" t="s">
        <v>34</v>
      </c>
      <c r="B197" s="46" t="s">
        <v>35</v>
      </c>
      <c r="C197" s="47" t="s">
        <v>233</v>
      </c>
      <c r="D197" s="47"/>
      <c r="E197" s="48">
        <f>E206+E207+E208+E209+E210+E211+E204+E205+E199+E198+E200+E201+E202+E203</f>
        <v>50222275</v>
      </c>
      <c r="F197" s="48">
        <f t="shared" ref="F197:G197" si="53">F206+F207+F208+F209+F210+F211+F204+F205+F199+F198+F200+F201+F202+F203</f>
        <v>51222275</v>
      </c>
      <c r="G197" s="48">
        <f t="shared" si="53"/>
        <v>51222275</v>
      </c>
    </row>
    <row r="198" spans="1:7">
      <c r="A198" s="95" t="s">
        <v>36</v>
      </c>
      <c r="B198" s="96" t="s">
        <v>37</v>
      </c>
      <c r="C198" s="49" t="s">
        <v>233</v>
      </c>
      <c r="D198" s="49" t="s">
        <v>82</v>
      </c>
      <c r="E198" s="50">
        <v>9000</v>
      </c>
      <c r="F198" s="50">
        <v>9000</v>
      </c>
      <c r="G198" s="50">
        <v>9000</v>
      </c>
    </row>
    <row r="199" spans="1:7">
      <c r="A199" s="65">
        <v>3231</v>
      </c>
      <c r="B199" s="170" t="s">
        <v>37</v>
      </c>
      <c r="C199" s="171" t="s">
        <v>233</v>
      </c>
      <c r="D199" s="171" t="s">
        <v>234</v>
      </c>
      <c r="E199" s="63">
        <v>51000</v>
      </c>
      <c r="F199" s="63">
        <v>51000</v>
      </c>
      <c r="G199" s="63">
        <v>51000</v>
      </c>
    </row>
    <row r="200" spans="1:7">
      <c r="A200" s="95">
        <v>3232</v>
      </c>
      <c r="B200" s="96" t="s">
        <v>39</v>
      </c>
      <c r="C200" s="49" t="s">
        <v>233</v>
      </c>
      <c r="D200" s="49" t="s">
        <v>82</v>
      </c>
      <c r="E200" s="50">
        <v>9000</v>
      </c>
      <c r="F200" s="50">
        <v>9000</v>
      </c>
      <c r="G200" s="50">
        <v>9000</v>
      </c>
    </row>
    <row r="201" spans="1:7">
      <c r="A201" s="65">
        <v>3232</v>
      </c>
      <c r="B201" s="170" t="s">
        <v>39</v>
      </c>
      <c r="C201" s="171" t="s">
        <v>233</v>
      </c>
      <c r="D201" s="171" t="s">
        <v>234</v>
      </c>
      <c r="E201" s="63">
        <v>51000</v>
      </c>
      <c r="F201" s="63">
        <v>51000</v>
      </c>
      <c r="G201" s="63">
        <v>51000</v>
      </c>
    </row>
    <row r="202" spans="1:7">
      <c r="A202" s="95">
        <v>3233</v>
      </c>
      <c r="B202" s="96" t="s">
        <v>41</v>
      </c>
      <c r="C202" s="49" t="s">
        <v>233</v>
      </c>
      <c r="D202" s="49" t="s">
        <v>82</v>
      </c>
      <c r="E202" s="50">
        <v>361950</v>
      </c>
      <c r="F202" s="50">
        <v>361950</v>
      </c>
      <c r="G202" s="50">
        <v>361950</v>
      </c>
    </row>
    <row r="203" spans="1:7">
      <c r="A203" s="65">
        <v>3233</v>
      </c>
      <c r="B203" s="170" t="s">
        <v>41</v>
      </c>
      <c r="C203" s="171" t="s">
        <v>233</v>
      </c>
      <c r="D203" s="171" t="s">
        <v>234</v>
      </c>
      <c r="E203" s="63">
        <v>2051050</v>
      </c>
      <c r="F203" s="63">
        <v>2051050</v>
      </c>
      <c r="G203" s="63">
        <v>2051050</v>
      </c>
    </row>
    <row r="204" spans="1:7">
      <c r="A204" s="62">
        <v>3234</v>
      </c>
      <c r="B204" s="173" t="s">
        <v>43</v>
      </c>
      <c r="C204" s="169" t="s">
        <v>233</v>
      </c>
      <c r="D204" s="169" t="s">
        <v>82</v>
      </c>
      <c r="E204" s="64">
        <v>15000</v>
      </c>
      <c r="F204" s="64">
        <v>15000</v>
      </c>
      <c r="G204" s="64">
        <v>15000</v>
      </c>
    </row>
    <row r="205" spans="1:7">
      <c r="A205" s="65">
        <v>3234</v>
      </c>
      <c r="B205" s="181" t="s">
        <v>43</v>
      </c>
      <c r="C205" s="171" t="s">
        <v>233</v>
      </c>
      <c r="D205" s="171" t="s">
        <v>234</v>
      </c>
      <c r="E205" s="63">
        <v>63750</v>
      </c>
      <c r="F205" s="63">
        <v>63750</v>
      </c>
      <c r="G205" s="63">
        <v>63750</v>
      </c>
    </row>
    <row r="206" spans="1:7">
      <c r="A206" s="62" t="s">
        <v>44</v>
      </c>
      <c r="B206" s="96" t="s">
        <v>45</v>
      </c>
      <c r="C206" s="169" t="s">
        <v>233</v>
      </c>
      <c r="D206" s="169" t="s">
        <v>82</v>
      </c>
      <c r="E206" s="64">
        <v>239400</v>
      </c>
      <c r="F206" s="64">
        <v>239400</v>
      </c>
      <c r="G206" s="64">
        <v>239400</v>
      </c>
    </row>
    <row r="207" spans="1:7">
      <c r="A207" s="65" t="s">
        <v>44</v>
      </c>
      <c r="B207" s="170" t="s">
        <v>45</v>
      </c>
      <c r="C207" s="171" t="s">
        <v>233</v>
      </c>
      <c r="D207" s="171" t="s">
        <v>234</v>
      </c>
      <c r="E207" s="63">
        <v>1356600</v>
      </c>
      <c r="F207" s="63">
        <v>1356600</v>
      </c>
      <c r="G207" s="63">
        <v>1356600</v>
      </c>
    </row>
    <row r="208" spans="1:7">
      <c r="A208" s="62" t="s">
        <v>48</v>
      </c>
      <c r="B208" s="96" t="s">
        <v>49</v>
      </c>
      <c r="C208" s="169" t="s">
        <v>233</v>
      </c>
      <c r="D208" s="169" t="s">
        <v>82</v>
      </c>
      <c r="E208" s="64">
        <v>5033000</v>
      </c>
      <c r="F208" s="64">
        <v>6033000</v>
      </c>
      <c r="G208" s="64">
        <v>6033000</v>
      </c>
    </row>
    <row r="209" spans="1:7">
      <c r="A209" s="65" t="s">
        <v>48</v>
      </c>
      <c r="B209" s="170" t="s">
        <v>49</v>
      </c>
      <c r="C209" s="171" t="s">
        <v>233</v>
      </c>
      <c r="D209" s="171" t="s">
        <v>234</v>
      </c>
      <c r="E209" s="63">
        <v>40640400</v>
      </c>
      <c r="F209" s="63">
        <v>40640400</v>
      </c>
      <c r="G209" s="63">
        <v>40640400</v>
      </c>
    </row>
    <row r="210" spans="1:7">
      <c r="A210" s="62">
        <v>3239</v>
      </c>
      <c r="B210" s="96" t="s">
        <v>53</v>
      </c>
      <c r="C210" s="169" t="s">
        <v>233</v>
      </c>
      <c r="D210" s="169" t="s">
        <v>82</v>
      </c>
      <c r="E210" s="64">
        <v>50000</v>
      </c>
      <c r="F210" s="64">
        <v>50000</v>
      </c>
      <c r="G210" s="64">
        <v>50000</v>
      </c>
    </row>
    <row r="211" spans="1:7">
      <c r="A211" s="65">
        <v>3239</v>
      </c>
      <c r="B211" s="170" t="s">
        <v>53</v>
      </c>
      <c r="C211" s="171" t="s">
        <v>233</v>
      </c>
      <c r="D211" s="171" t="s">
        <v>234</v>
      </c>
      <c r="E211" s="63">
        <v>291125</v>
      </c>
      <c r="F211" s="63">
        <v>291125</v>
      </c>
      <c r="G211" s="63">
        <v>291125</v>
      </c>
    </row>
    <row r="212" spans="1:7">
      <c r="A212" s="45" t="s">
        <v>54</v>
      </c>
      <c r="B212" s="46" t="s">
        <v>58</v>
      </c>
      <c r="C212" s="47" t="s">
        <v>233</v>
      </c>
      <c r="D212" s="47"/>
      <c r="E212" s="48">
        <f>E213+E214</f>
        <v>70000</v>
      </c>
      <c r="F212" s="48">
        <f t="shared" ref="F212:G212" si="54">F213+F214</f>
        <v>70000</v>
      </c>
      <c r="G212" s="48">
        <f t="shared" si="54"/>
        <v>70000</v>
      </c>
    </row>
    <row r="213" spans="1:7">
      <c r="A213" s="62">
        <v>3241</v>
      </c>
      <c r="B213" s="96" t="s">
        <v>420</v>
      </c>
      <c r="C213" s="169" t="s">
        <v>233</v>
      </c>
      <c r="D213" s="169" t="s">
        <v>82</v>
      </c>
      <c r="E213" s="64">
        <v>10500</v>
      </c>
      <c r="F213" s="64">
        <v>10500</v>
      </c>
      <c r="G213" s="64">
        <v>10500</v>
      </c>
    </row>
    <row r="214" spans="1:7">
      <c r="A214" s="65">
        <v>3241</v>
      </c>
      <c r="B214" s="170" t="s">
        <v>420</v>
      </c>
      <c r="C214" s="171" t="s">
        <v>233</v>
      </c>
      <c r="D214" s="171" t="s">
        <v>234</v>
      </c>
      <c r="E214" s="63">
        <v>59500</v>
      </c>
      <c r="F214" s="63">
        <v>59500</v>
      </c>
      <c r="G214" s="63">
        <v>59500</v>
      </c>
    </row>
    <row r="215" spans="1:7">
      <c r="A215" s="45" t="s">
        <v>57</v>
      </c>
      <c r="B215" s="46" t="s">
        <v>58</v>
      </c>
      <c r="C215" s="47" t="s">
        <v>233</v>
      </c>
      <c r="D215" s="47"/>
      <c r="E215" s="48">
        <f>E218+E219+E216+E217+E220+E221+E222+E223</f>
        <v>794100</v>
      </c>
      <c r="F215" s="48">
        <f t="shared" ref="F215:G215" si="55">F218+F219+F216+F217+F220+F221+F222+F223</f>
        <v>794100</v>
      </c>
      <c r="G215" s="48">
        <f t="shared" si="55"/>
        <v>794100</v>
      </c>
    </row>
    <row r="216" spans="1:7">
      <c r="A216" s="62">
        <v>3291</v>
      </c>
      <c r="B216" s="96" t="s">
        <v>60</v>
      </c>
      <c r="C216" s="169" t="s">
        <v>233</v>
      </c>
      <c r="D216" s="169" t="s">
        <v>82</v>
      </c>
      <c r="E216" s="64">
        <v>10000</v>
      </c>
      <c r="F216" s="64">
        <v>10000</v>
      </c>
      <c r="G216" s="64">
        <v>10000</v>
      </c>
    </row>
    <row r="217" spans="1:7">
      <c r="A217" s="65">
        <v>3291</v>
      </c>
      <c r="B217" s="170" t="s">
        <v>60</v>
      </c>
      <c r="C217" s="171" t="s">
        <v>233</v>
      </c>
      <c r="D217" s="171" t="s">
        <v>234</v>
      </c>
      <c r="E217" s="63">
        <v>29750</v>
      </c>
      <c r="F217" s="63">
        <v>29750</v>
      </c>
      <c r="G217" s="63">
        <v>29750</v>
      </c>
    </row>
    <row r="218" spans="1:7">
      <c r="A218" s="62" t="s">
        <v>63</v>
      </c>
      <c r="B218" s="96" t="s">
        <v>64</v>
      </c>
      <c r="C218" s="169" t="s">
        <v>233</v>
      </c>
      <c r="D218" s="169" t="s">
        <v>82</v>
      </c>
      <c r="E218" s="64">
        <v>110000</v>
      </c>
      <c r="F218" s="64">
        <v>110000</v>
      </c>
      <c r="G218" s="64">
        <v>110000</v>
      </c>
    </row>
    <row r="219" spans="1:7" ht="15" customHeight="1">
      <c r="A219" s="65" t="s">
        <v>63</v>
      </c>
      <c r="B219" s="170" t="s">
        <v>64</v>
      </c>
      <c r="C219" s="171" t="s">
        <v>233</v>
      </c>
      <c r="D219" s="171" t="s">
        <v>234</v>
      </c>
      <c r="E219" s="63">
        <v>621350</v>
      </c>
      <c r="F219" s="63">
        <v>621350</v>
      </c>
      <c r="G219" s="63">
        <v>621350</v>
      </c>
    </row>
    <row r="220" spans="1:7">
      <c r="A220" s="62">
        <v>3294</v>
      </c>
      <c r="B220" s="96" t="s">
        <v>66</v>
      </c>
      <c r="C220" s="169" t="s">
        <v>233</v>
      </c>
      <c r="D220" s="169" t="s">
        <v>82</v>
      </c>
      <c r="E220" s="64">
        <v>3000</v>
      </c>
      <c r="F220" s="64">
        <v>3000</v>
      </c>
      <c r="G220" s="64">
        <v>3000</v>
      </c>
    </row>
    <row r="221" spans="1:7">
      <c r="A221" s="65">
        <v>3294</v>
      </c>
      <c r="B221" s="170" t="s">
        <v>66</v>
      </c>
      <c r="C221" s="171" t="s">
        <v>233</v>
      </c>
      <c r="D221" s="171" t="s">
        <v>234</v>
      </c>
      <c r="E221" s="63">
        <v>17000</v>
      </c>
      <c r="F221" s="63">
        <v>17000</v>
      </c>
      <c r="G221" s="63">
        <v>17000</v>
      </c>
    </row>
    <row r="222" spans="1:7">
      <c r="A222" s="62">
        <v>3295</v>
      </c>
      <c r="B222" s="96" t="s">
        <v>68</v>
      </c>
      <c r="C222" s="169" t="s">
        <v>233</v>
      </c>
      <c r="D222" s="169" t="s">
        <v>82</v>
      </c>
      <c r="E222" s="64">
        <v>450</v>
      </c>
      <c r="F222" s="64">
        <v>450</v>
      </c>
      <c r="G222" s="64">
        <v>450</v>
      </c>
    </row>
    <row r="223" spans="1:7">
      <c r="A223" s="65">
        <v>3295</v>
      </c>
      <c r="B223" s="170" t="s">
        <v>68</v>
      </c>
      <c r="C223" s="171" t="s">
        <v>233</v>
      </c>
      <c r="D223" s="171" t="s">
        <v>234</v>
      </c>
      <c r="E223" s="63">
        <v>2550</v>
      </c>
      <c r="F223" s="63">
        <v>2550</v>
      </c>
      <c r="G223" s="63">
        <v>2550</v>
      </c>
    </row>
    <row r="224" spans="1:7">
      <c r="A224" s="529">
        <v>353</v>
      </c>
      <c r="B224" s="552" t="s">
        <v>456</v>
      </c>
      <c r="C224" s="531" t="s">
        <v>233</v>
      </c>
      <c r="D224" s="531"/>
      <c r="E224" s="532">
        <f>E225</f>
        <v>139121614</v>
      </c>
      <c r="F224" s="532">
        <f t="shared" ref="F224:G224" si="56">F225</f>
        <v>321326924</v>
      </c>
      <c r="G224" s="532">
        <f t="shared" si="56"/>
        <v>343413409</v>
      </c>
    </row>
    <row r="225" spans="1:7">
      <c r="A225" s="484">
        <v>3531</v>
      </c>
      <c r="B225" s="551" t="s">
        <v>456</v>
      </c>
      <c r="C225" s="485"/>
      <c r="D225" s="485" t="s">
        <v>234</v>
      </c>
      <c r="E225" s="486">
        <v>139121614</v>
      </c>
      <c r="F225" s="486">
        <v>321326924</v>
      </c>
      <c r="G225" s="486">
        <v>343413409</v>
      </c>
    </row>
    <row r="226" spans="1:7" s="182" customFormat="1" ht="15">
      <c r="A226" s="58" t="s">
        <v>236</v>
      </c>
      <c r="B226" s="59" t="s">
        <v>237</v>
      </c>
      <c r="C226" s="60" t="s">
        <v>233</v>
      </c>
      <c r="D226" s="60" t="s">
        <v>234</v>
      </c>
      <c r="E226" s="61">
        <f>E227+E228</f>
        <v>58833028</v>
      </c>
      <c r="F226" s="61">
        <f t="shared" ref="F226:G226" si="57">F227+F228</f>
        <v>380212400</v>
      </c>
      <c r="G226" s="61">
        <f t="shared" si="57"/>
        <v>99555086</v>
      </c>
    </row>
    <row r="227" spans="1:7" ht="14.25" customHeight="1">
      <c r="A227" s="65">
        <v>3681</v>
      </c>
      <c r="B227" s="170" t="s">
        <v>238</v>
      </c>
      <c r="C227" s="171" t="s">
        <v>233</v>
      </c>
      <c r="D227" s="171" t="s">
        <v>234</v>
      </c>
      <c r="E227" s="63">
        <v>18089714</v>
      </c>
      <c r="F227" s="63">
        <v>10151143</v>
      </c>
      <c r="G227" s="319">
        <v>3379543</v>
      </c>
    </row>
    <row r="228" spans="1:7">
      <c r="A228" s="65">
        <v>3682</v>
      </c>
      <c r="B228" s="170" t="s">
        <v>239</v>
      </c>
      <c r="C228" s="171" t="s">
        <v>233</v>
      </c>
      <c r="D228" s="171" t="s">
        <v>234</v>
      </c>
      <c r="E228" s="576">
        <v>40743314</v>
      </c>
      <c r="F228" s="576">
        <v>370061257</v>
      </c>
      <c r="G228" s="319">
        <v>96175543</v>
      </c>
    </row>
    <row r="229" spans="1:7">
      <c r="A229" s="529">
        <v>-372</v>
      </c>
      <c r="B229" s="577" t="s">
        <v>440</v>
      </c>
      <c r="C229" s="531" t="s">
        <v>233</v>
      </c>
      <c r="D229" s="531"/>
      <c r="E229" s="532">
        <f>E230+E231</f>
        <v>149200</v>
      </c>
      <c r="F229" s="532">
        <f t="shared" ref="F229:G229" si="58">F230+F231</f>
        <v>149200</v>
      </c>
      <c r="G229" s="532">
        <f t="shared" si="58"/>
        <v>149200</v>
      </c>
    </row>
    <row r="230" spans="1:7">
      <c r="A230" s="62">
        <v>3721</v>
      </c>
      <c r="B230" s="96" t="s">
        <v>175</v>
      </c>
      <c r="C230" s="169" t="s">
        <v>233</v>
      </c>
      <c r="D230" s="169" t="s">
        <v>82</v>
      </c>
      <c r="E230" s="64">
        <v>20000</v>
      </c>
      <c r="F230" s="64">
        <v>20000</v>
      </c>
      <c r="G230" s="64">
        <v>20000</v>
      </c>
    </row>
    <row r="231" spans="1:7">
      <c r="A231" s="65">
        <v>3721</v>
      </c>
      <c r="B231" s="170" t="s">
        <v>175</v>
      </c>
      <c r="C231" s="171" t="s">
        <v>233</v>
      </c>
      <c r="D231" s="171" t="s">
        <v>234</v>
      </c>
      <c r="E231" s="63">
        <v>129200</v>
      </c>
      <c r="F231" s="63">
        <v>129200</v>
      </c>
      <c r="G231" s="319">
        <v>129200</v>
      </c>
    </row>
    <row r="232" spans="1:7">
      <c r="A232" s="529">
        <v>-383</v>
      </c>
      <c r="B232" s="530" t="s">
        <v>441</v>
      </c>
      <c r="C232" s="531" t="s">
        <v>233</v>
      </c>
      <c r="D232" s="531"/>
      <c r="E232" s="532">
        <f>E233+E234</f>
        <v>78750</v>
      </c>
      <c r="F232" s="532">
        <f t="shared" ref="F232:G232" si="59">F233+F234</f>
        <v>78750</v>
      </c>
      <c r="G232" s="532">
        <f t="shared" si="59"/>
        <v>78750</v>
      </c>
    </row>
    <row r="233" spans="1:7">
      <c r="A233" s="62">
        <v>3834</v>
      </c>
      <c r="B233" s="96" t="s">
        <v>421</v>
      </c>
      <c r="C233" s="169" t="s">
        <v>233</v>
      </c>
      <c r="D233" s="169" t="s">
        <v>82</v>
      </c>
      <c r="E233" s="64">
        <v>15000</v>
      </c>
      <c r="F233" s="64">
        <v>15000</v>
      </c>
      <c r="G233" s="64">
        <v>15000</v>
      </c>
    </row>
    <row r="234" spans="1:7" ht="14.25" customHeight="1">
      <c r="A234" s="65">
        <v>3834</v>
      </c>
      <c r="B234" s="170" t="s">
        <v>421</v>
      </c>
      <c r="C234" s="171" t="s">
        <v>233</v>
      </c>
      <c r="D234" s="171" t="s">
        <v>234</v>
      </c>
      <c r="E234" s="63">
        <v>63750</v>
      </c>
      <c r="F234" s="63">
        <v>63750</v>
      </c>
      <c r="G234" s="63">
        <v>63750</v>
      </c>
    </row>
    <row r="235" spans="1:7" hidden="1">
      <c r="A235" s="58" t="s">
        <v>240</v>
      </c>
      <c r="B235" s="59" t="s">
        <v>241</v>
      </c>
      <c r="C235" s="60" t="s">
        <v>233</v>
      </c>
      <c r="D235" s="60" t="s">
        <v>234</v>
      </c>
      <c r="E235" s="61">
        <f>E236+E237</f>
        <v>0</v>
      </c>
      <c r="F235" s="61">
        <f t="shared" ref="F235:G235" si="60">F236+F237</f>
        <v>0</v>
      </c>
      <c r="G235" s="324">
        <f t="shared" si="60"/>
        <v>0</v>
      </c>
    </row>
    <row r="236" spans="1:7" hidden="1">
      <c r="A236" s="555">
        <v>3841</v>
      </c>
      <c r="B236" s="556" t="s">
        <v>242</v>
      </c>
      <c r="C236" s="557" t="s">
        <v>233</v>
      </c>
      <c r="D236" s="557" t="s">
        <v>234</v>
      </c>
      <c r="E236" s="558"/>
      <c r="F236" s="558"/>
      <c r="G236" s="559"/>
    </row>
    <row r="237" spans="1:7" hidden="1">
      <c r="A237" s="555">
        <v>3842</v>
      </c>
      <c r="B237" s="556" t="s">
        <v>243</v>
      </c>
      <c r="C237" s="557" t="s">
        <v>233</v>
      </c>
      <c r="D237" s="557" t="s">
        <v>234</v>
      </c>
      <c r="E237" s="558"/>
      <c r="F237" s="558"/>
      <c r="G237" s="559"/>
    </row>
    <row r="238" spans="1:7">
      <c r="A238" s="58" t="s">
        <v>332</v>
      </c>
      <c r="B238" s="552" t="s">
        <v>454</v>
      </c>
      <c r="C238" s="485" t="s">
        <v>233</v>
      </c>
      <c r="D238" s="485"/>
      <c r="E238" s="532">
        <f>E239</f>
        <v>172363993</v>
      </c>
      <c r="F238" s="532">
        <f t="shared" ref="F238:G238" si="61">F239</f>
        <v>63640509</v>
      </c>
      <c r="G238" s="532">
        <f t="shared" si="61"/>
        <v>726587859</v>
      </c>
    </row>
    <row r="239" spans="1:7">
      <c r="A239" s="484">
        <v>3864</v>
      </c>
      <c r="B239" s="551" t="s">
        <v>455</v>
      </c>
      <c r="C239" s="485" t="s">
        <v>233</v>
      </c>
      <c r="D239" s="485" t="s">
        <v>234</v>
      </c>
      <c r="E239" s="486">
        <v>172363993</v>
      </c>
      <c r="F239" s="486">
        <v>63640509</v>
      </c>
      <c r="G239" s="486">
        <v>726587859</v>
      </c>
    </row>
    <row r="240" spans="1:7">
      <c r="A240" s="45" t="s">
        <v>176</v>
      </c>
      <c r="B240" s="46" t="s">
        <v>89</v>
      </c>
      <c r="C240" s="47" t="s">
        <v>233</v>
      </c>
      <c r="D240" s="291"/>
      <c r="E240" s="291">
        <f>E242+E241</f>
        <v>49942312</v>
      </c>
      <c r="F240" s="291">
        <f t="shared" ref="F240:G240" si="62">F242+F241</f>
        <v>0</v>
      </c>
      <c r="G240" s="291">
        <f t="shared" si="62"/>
        <v>0</v>
      </c>
    </row>
    <row r="241" spans="1:7">
      <c r="A241" s="471">
        <v>4212</v>
      </c>
      <c r="B241" s="289" t="s">
        <v>378</v>
      </c>
      <c r="C241" s="449"/>
      <c r="D241" s="492">
        <v>11</v>
      </c>
      <c r="E241" s="491">
        <v>3500000</v>
      </c>
      <c r="F241" s="491">
        <v>0</v>
      </c>
      <c r="G241" s="534">
        <v>0</v>
      </c>
    </row>
    <row r="242" spans="1:7">
      <c r="A242" s="287">
        <v>4212</v>
      </c>
      <c r="B242" s="290" t="s">
        <v>378</v>
      </c>
      <c r="C242" s="171" t="s">
        <v>233</v>
      </c>
      <c r="D242" s="288" t="s">
        <v>234</v>
      </c>
      <c r="E242" s="167">
        <v>46442312</v>
      </c>
      <c r="F242" s="167">
        <v>0</v>
      </c>
      <c r="G242" s="325">
        <v>0</v>
      </c>
    </row>
    <row r="243" spans="1:7">
      <c r="A243" s="45" t="s">
        <v>88</v>
      </c>
      <c r="B243" s="46" t="s">
        <v>89</v>
      </c>
      <c r="C243" s="47" t="s">
        <v>233</v>
      </c>
      <c r="D243" s="47"/>
      <c r="E243" s="48">
        <f>E244+E245+E246+E247</f>
        <v>69357731</v>
      </c>
      <c r="F243" s="48">
        <f t="shared" ref="F243:G243" si="63">F244+F245+F246+F247</f>
        <v>4520000</v>
      </c>
      <c r="G243" s="48">
        <f t="shared" si="63"/>
        <v>770000</v>
      </c>
    </row>
    <row r="244" spans="1:7">
      <c r="A244" s="62" t="s">
        <v>90</v>
      </c>
      <c r="B244" s="96" t="s">
        <v>91</v>
      </c>
      <c r="C244" s="169" t="s">
        <v>233</v>
      </c>
      <c r="D244" s="169" t="s">
        <v>82</v>
      </c>
      <c r="E244" s="64">
        <v>112500</v>
      </c>
      <c r="F244" s="64">
        <v>112500</v>
      </c>
      <c r="G244" s="64">
        <v>112500</v>
      </c>
    </row>
    <row r="245" spans="1:7">
      <c r="A245" s="65" t="s">
        <v>90</v>
      </c>
      <c r="B245" s="170" t="s">
        <v>91</v>
      </c>
      <c r="C245" s="171" t="s">
        <v>233</v>
      </c>
      <c r="D245" s="171" t="s">
        <v>234</v>
      </c>
      <c r="E245" s="63">
        <v>69225231</v>
      </c>
      <c r="F245" s="63">
        <v>4387500</v>
      </c>
      <c r="G245" s="319">
        <v>637500</v>
      </c>
    </row>
    <row r="246" spans="1:7">
      <c r="A246" s="62">
        <v>4222</v>
      </c>
      <c r="B246" s="96" t="s">
        <v>93</v>
      </c>
      <c r="C246" s="169" t="s">
        <v>233</v>
      </c>
      <c r="D246" s="169" t="s">
        <v>82</v>
      </c>
      <c r="E246" s="64">
        <v>3000</v>
      </c>
      <c r="F246" s="64">
        <v>3000</v>
      </c>
      <c r="G246" s="64">
        <v>3000</v>
      </c>
    </row>
    <row r="247" spans="1:7">
      <c r="A247" s="65">
        <v>4222</v>
      </c>
      <c r="B247" s="170" t="s">
        <v>93</v>
      </c>
      <c r="C247" s="171" t="s">
        <v>233</v>
      </c>
      <c r="D247" s="171" t="s">
        <v>234</v>
      </c>
      <c r="E247" s="63">
        <v>17000</v>
      </c>
      <c r="F247" s="63">
        <v>17000</v>
      </c>
      <c r="G247" s="63">
        <v>17000</v>
      </c>
    </row>
    <row r="248" spans="1:7">
      <c r="A248" s="350" t="s">
        <v>342</v>
      </c>
      <c r="B248" s="351" t="s">
        <v>343</v>
      </c>
      <c r="C248" s="583" t="s">
        <v>233</v>
      </c>
      <c r="D248" s="583"/>
      <c r="E248" s="584">
        <f>E249+E250</f>
        <v>418000000</v>
      </c>
      <c r="F248" s="584">
        <f t="shared" ref="F248:G248" si="64">F249+F250</f>
        <v>418000000</v>
      </c>
      <c r="G248" s="584">
        <f t="shared" si="64"/>
        <v>0</v>
      </c>
    </row>
    <row r="249" spans="1:7">
      <c r="A249" s="507">
        <v>5163</v>
      </c>
      <c r="B249" s="508" t="s">
        <v>344</v>
      </c>
      <c r="C249" s="578" t="s">
        <v>233</v>
      </c>
      <c r="D249" s="578" t="s">
        <v>234</v>
      </c>
      <c r="E249" s="582">
        <v>378000000</v>
      </c>
      <c r="F249" s="582">
        <v>378000000</v>
      </c>
      <c r="G249" s="582">
        <v>0</v>
      </c>
    </row>
    <row r="250" spans="1:7">
      <c r="A250" s="507">
        <v>5164</v>
      </c>
      <c r="B250" s="508" t="s">
        <v>345</v>
      </c>
      <c r="C250" s="578" t="s">
        <v>233</v>
      </c>
      <c r="D250" s="578" t="s">
        <v>234</v>
      </c>
      <c r="E250" s="582">
        <v>40000000</v>
      </c>
      <c r="F250" s="582">
        <v>40000000</v>
      </c>
      <c r="G250" s="582">
        <v>0</v>
      </c>
    </row>
    <row r="251" spans="1:7">
      <c r="A251" s="390" t="s">
        <v>408</v>
      </c>
      <c r="B251" s="185" t="s">
        <v>450</v>
      </c>
      <c r="C251" s="186" t="s">
        <v>233</v>
      </c>
      <c r="D251" s="187"/>
      <c r="E251" s="187">
        <f>E252+E255+E257+E259+E261+E263+E265</f>
        <v>21825000</v>
      </c>
      <c r="F251" s="187">
        <f t="shared" ref="F251:G251" si="65">F252+F255+F257+F259+F261+F263+F265</f>
        <v>22600000</v>
      </c>
      <c r="G251" s="187">
        <f t="shared" si="65"/>
        <v>22600000</v>
      </c>
    </row>
    <row r="252" spans="1:7">
      <c r="A252" s="188" t="s">
        <v>196</v>
      </c>
      <c r="B252" s="46" t="s">
        <v>444</v>
      </c>
      <c r="C252" s="198" t="s">
        <v>233</v>
      </c>
      <c r="D252" s="389">
        <v>12</v>
      </c>
      <c r="E252" s="146">
        <f>E253+E254</f>
        <v>450000</v>
      </c>
      <c r="F252" s="146">
        <f t="shared" ref="F252:G252" si="66">F253+F254</f>
        <v>450000</v>
      </c>
      <c r="G252" s="329">
        <f t="shared" si="66"/>
        <v>450000</v>
      </c>
    </row>
    <row r="253" spans="1:7" s="270" customFormat="1" ht="14.25" customHeight="1">
      <c r="A253" s="190">
        <v>3522</v>
      </c>
      <c r="B253" s="96" t="s">
        <v>443</v>
      </c>
      <c r="C253" s="198" t="s">
        <v>233</v>
      </c>
      <c r="D253" s="192" t="s">
        <v>82</v>
      </c>
      <c r="E253" s="147">
        <v>150000</v>
      </c>
      <c r="F253" s="147">
        <v>150000</v>
      </c>
      <c r="G253" s="203">
        <v>150000</v>
      </c>
    </row>
    <row r="254" spans="1:7" s="270" customFormat="1" ht="14.25" customHeight="1">
      <c r="A254" s="535">
        <v>3523</v>
      </c>
      <c r="B254" s="536" t="s">
        <v>341</v>
      </c>
      <c r="C254" s="198" t="s">
        <v>233</v>
      </c>
      <c r="D254" s="192" t="s">
        <v>82</v>
      </c>
      <c r="E254" s="147">
        <v>300000</v>
      </c>
      <c r="F254" s="464">
        <v>300000</v>
      </c>
      <c r="G254" s="203">
        <v>300000</v>
      </c>
    </row>
    <row r="255" spans="1:7" s="270" customFormat="1" ht="14.25" customHeight="1">
      <c r="A255" s="196">
        <v>353</v>
      </c>
      <c r="B255" s="46" t="s">
        <v>443</v>
      </c>
      <c r="C255" s="449" t="s">
        <v>233</v>
      </c>
      <c r="D255" s="467" t="s">
        <v>316</v>
      </c>
      <c r="E255" s="450">
        <f>E256</f>
        <v>16875000</v>
      </c>
      <c r="F255" s="450">
        <f t="shared" ref="F255:G255" si="67">F256</f>
        <v>16450000</v>
      </c>
      <c r="G255" s="450">
        <f t="shared" si="67"/>
        <v>16450000</v>
      </c>
    </row>
    <row r="256" spans="1:7" s="270" customFormat="1" ht="14.25" customHeight="1">
      <c r="A256" s="212">
        <v>3531</v>
      </c>
      <c r="B256" s="553" t="s">
        <v>457</v>
      </c>
      <c r="C256" s="205" t="s">
        <v>233</v>
      </c>
      <c r="D256" s="195" t="s">
        <v>316</v>
      </c>
      <c r="E256" s="148">
        <v>16875000</v>
      </c>
      <c r="F256" s="214">
        <v>16450000</v>
      </c>
      <c r="G256" s="328">
        <v>16450000</v>
      </c>
    </row>
    <row r="257" spans="1:7">
      <c r="A257" s="455">
        <v>-363</v>
      </c>
      <c r="B257" s="469" t="s">
        <v>418</v>
      </c>
      <c r="C257" s="449" t="s">
        <v>233</v>
      </c>
      <c r="D257" s="460"/>
      <c r="E257" s="450">
        <f>SUM(E258)</f>
        <v>300000</v>
      </c>
      <c r="F257" s="450">
        <f t="shared" ref="F257:G257" si="68">SUM(F258)</f>
        <v>300000</v>
      </c>
      <c r="G257" s="450">
        <f t="shared" si="68"/>
        <v>300000</v>
      </c>
    </row>
    <row r="258" spans="1:7" ht="14.25" customHeight="1">
      <c r="A258" s="465">
        <v>3631</v>
      </c>
      <c r="B258" s="466" t="s">
        <v>417</v>
      </c>
      <c r="C258" s="449" t="s">
        <v>233</v>
      </c>
      <c r="D258" s="467" t="s">
        <v>82</v>
      </c>
      <c r="E258" s="468">
        <v>300000</v>
      </c>
      <c r="F258" s="453">
        <v>300000</v>
      </c>
      <c r="G258" s="454">
        <v>300000</v>
      </c>
    </row>
    <row r="259" spans="1:7">
      <c r="A259" s="196">
        <v>-368</v>
      </c>
      <c r="B259" s="542" t="s">
        <v>237</v>
      </c>
      <c r="C259" s="198" t="s">
        <v>233</v>
      </c>
      <c r="D259" s="180"/>
      <c r="E259" s="180">
        <f>E260</f>
        <v>2125000</v>
      </c>
      <c r="F259" s="180">
        <f t="shared" ref="F259:G259" si="69">F260</f>
        <v>2550000</v>
      </c>
      <c r="G259" s="330">
        <f t="shared" si="69"/>
        <v>2550000</v>
      </c>
    </row>
    <row r="260" spans="1:7" ht="14.25" customHeight="1">
      <c r="A260" s="212">
        <v>3681</v>
      </c>
      <c r="B260" s="213" t="s">
        <v>238</v>
      </c>
      <c r="C260" s="205" t="s">
        <v>233</v>
      </c>
      <c r="D260" s="195" t="s">
        <v>316</v>
      </c>
      <c r="E260" s="148">
        <v>2125000</v>
      </c>
      <c r="F260" s="214">
        <v>2550000</v>
      </c>
      <c r="G260" s="328">
        <v>2550000</v>
      </c>
    </row>
    <row r="261" spans="1:7" ht="14.25" customHeight="1">
      <c r="A261" s="196">
        <v>-372</v>
      </c>
      <c r="B261" s="211" t="s">
        <v>440</v>
      </c>
      <c r="C261" s="198" t="s">
        <v>233</v>
      </c>
      <c r="D261" s="180"/>
      <c r="E261" s="180">
        <f>E262</f>
        <v>2000000</v>
      </c>
      <c r="F261" s="180">
        <f t="shared" ref="F261:G261" si="70">F262</f>
        <v>2700000</v>
      </c>
      <c r="G261" s="330">
        <f t="shared" si="70"/>
        <v>2700000</v>
      </c>
    </row>
    <row r="262" spans="1:7">
      <c r="A262" s="209">
        <v>3721</v>
      </c>
      <c r="B262" s="210" t="s">
        <v>175</v>
      </c>
      <c r="C262" s="198" t="s">
        <v>233</v>
      </c>
      <c r="D262" s="192" t="s">
        <v>82</v>
      </c>
      <c r="E262" s="147">
        <v>2000000</v>
      </c>
      <c r="F262" s="150">
        <v>2700000</v>
      </c>
      <c r="G262" s="203">
        <v>2700000</v>
      </c>
    </row>
    <row r="263" spans="1:7" ht="14.25" customHeight="1">
      <c r="A263" s="196">
        <v>-381</v>
      </c>
      <c r="B263" s="211" t="s">
        <v>79</v>
      </c>
      <c r="C263" s="198" t="s">
        <v>233</v>
      </c>
      <c r="D263" s="180"/>
      <c r="E263" s="180">
        <f t="shared" ref="E263:G263" si="71">E264</f>
        <v>75000</v>
      </c>
      <c r="F263" s="180">
        <f t="shared" si="71"/>
        <v>150000</v>
      </c>
      <c r="G263" s="330">
        <f t="shared" si="71"/>
        <v>150000</v>
      </c>
    </row>
    <row r="264" spans="1:7">
      <c r="A264" s="209">
        <v>3811</v>
      </c>
      <c r="B264" s="210" t="s">
        <v>81</v>
      </c>
      <c r="C264" s="198" t="s">
        <v>233</v>
      </c>
      <c r="D264" s="192" t="s">
        <v>82</v>
      </c>
      <c r="E264" s="147">
        <v>75000</v>
      </c>
      <c r="F264" s="150">
        <v>150000</v>
      </c>
      <c r="G264" s="203">
        <v>150000</v>
      </c>
    </row>
    <row r="265" spans="1:7">
      <c r="A265" s="196">
        <v>-384</v>
      </c>
      <c r="B265" s="211" t="s">
        <v>324</v>
      </c>
      <c r="C265" s="198" t="s">
        <v>233</v>
      </c>
      <c r="D265" s="180"/>
      <c r="E265" s="180">
        <f t="shared" ref="E265:G265" si="72">E266</f>
        <v>0</v>
      </c>
      <c r="F265" s="180">
        <f t="shared" si="72"/>
        <v>0</v>
      </c>
      <c r="G265" s="330">
        <f t="shared" si="72"/>
        <v>0</v>
      </c>
    </row>
    <row r="266" spans="1:7">
      <c r="A266" s="212">
        <v>3841</v>
      </c>
      <c r="B266" s="213" t="s">
        <v>325</v>
      </c>
      <c r="C266" s="205" t="s">
        <v>233</v>
      </c>
      <c r="D266" s="195" t="s">
        <v>316</v>
      </c>
      <c r="E266" s="148">
        <v>0</v>
      </c>
      <c r="F266" s="214">
        <v>0</v>
      </c>
      <c r="G266" s="328">
        <v>0</v>
      </c>
    </row>
    <row r="267" spans="1:7">
      <c r="A267" s="390" t="s">
        <v>410</v>
      </c>
      <c r="B267" s="185" t="s">
        <v>333</v>
      </c>
      <c r="C267" s="186" t="s">
        <v>232</v>
      </c>
      <c r="D267" s="187"/>
      <c r="E267" s="187">
        <f>E268+E272+E279+E283</f>
        <v>429000</v>
      </c>
      <c r="F267" s="187">
        <f>F268+F272+F279+F283</f>
        <v>429000</v>
      </c>
      <c r="G267" s="187">
        <f>G268+G272+G279+G283</f>
        <v>429000</v>
      </c>
    </row>
    <row r="268" spans="1:7">
      <c r="A268" s="188" t="s">
        <v>16</v>
      </c>
      <c r="B268" s="189" t="s">
        <v>17</v>
      </c>
      <c r="C268" s="198" t="s">
        <v>232</v>
      </c>
      <c r="D268" s="146"/>
      <c r="E268" s="146">
        <f t="shared" ref="E268:G268" si="73">E269+E270+E271</f>
        <v>115000</v>
      </c>
      <c r="F268" s="146">
        <f t="shared" si="73"/>
        <v>115000</v>
      </c>
      <c r="G268" s="329">
        <f t="shared" si="73"/>
        <v>115000</v>
      </c>
    </row>
    <row r="269" spans="1:7">
      <c r="A269" s="190" t="s">
        <v>18</v>
      </c>
      <c r="B269" s="191" t="s">
        <v>19</v>
      </c>
      <c r="C269" s="198" t="s">
        <v>232</v>
      </c>
      <c r="D269" s="192" t="s">
        <v>82</v>
      </c>
      <c r="E269" s="147">
        <v>15000</v>
      </c>
      <c r="F269" s="147">
        <v>15000</v>
      </c>
      <c r="G269" s="203">
        <v>15000</v>
      </c>
    </row>
    <row r="270" spans="1:7">
      <c r="A270" s="193" t="s">
        <v>18</v>
      </c>
      <c r="B270" s="194" t="s">
        <v>19</v>
      </c>
      <c r="C270" s="205" t="s">
        <v>232</v>
      </c>
      <c r="D270" s="195" t="s">
        <v>235</v>
      </c>
      <c r="E270" s="148">
        <v>100000</v>
      </c>
      <c r="F270" s="148">
        <v>100000</v>
      </c>
      <c r="G270" s="328">
        <v>100000</v>
      </c>
    </row>
    <row r="271" spans="1:7" hidden="1">
      <c r="A271" s="193">
        <v>3211</v>
      </c>
      <c r="B271" s="194" t="s">
        <v>19</v>
      </c>
      <c r="C271" s="205" t="s">
        <v>232</v>
      </c>
      <c r="D271" s="195" t="s">
        <v>315</v>
      </c>
      <c r="E271" s="148">
        <v>0</v>
      </c>
      <c r="F271" s="148"/>
      <c r="G271" s="328"/>
    </row>
    <row r="272" spans="1:7">
      <c r="A272" s="188" t="s">
        <v>34</v>
      </c>
      <c r="B272" s="189" t="s">
        <v>35</v>
      </c>
      <c r="C272" s="198" t="s">
        <v>232</v>
      </c>
      <c r="D272" s="146"/>
      <c r="E272" s="146">
        <f>+E274+E275+E273+E276+E277+E278</f>
        <v>167000</v>
      </c>
      <c r="F272" s="146">
        <f t="shared" ref="F272:G272" si="74">+F274+F275+F273+F276+F277+F278</f>
        <v>167000</v>
      </c>
      <c r="G272" s="146">
        <f t="shared" si="74"/>
        <v>167000</v>
      </c>
    </row>
    <row r="273" spans="1:7" hidden="1">
      <c r="A273" s="193">
        <v>3235</v>
      </c>
      <c r="B273" s="194" t="s">
        <v>45</v>
      </c>
      <c r="C273" s="205" t="s">
        <v>232</v>
      </c>
      <c r="D273" s="195" t="s">
        <v>315</v>
      </c>
      <c r="E273" s="148"/>
      <c r="F273" s="148"/>
      <c r="G273" s="328"/>
    </row>
    <row r="274" spans="1:7">
      <c r="A274" s="190">
        <v>3237</v>
      </c>
      <c r="B274" s="191" t="s">
        <v>49</v>
      </c>
      <c r="C274" s="198" t="s">
        <v>232</v>
      </c>
      <c r="D274" s="192" t="s">
        <v>82</v>
      </c>
      <c r="E274" s="147">
        <v>14500</v>
      </c>
      <c r="F274" s="147">
        <v>14500</v>
      </c>
      <c r="G274" s="203">
        <v>14500</v>
      </c>
    </row>
    <row r="275" spans="1:7">
      <c r="A275" s="193">
        <v>3237</v>
      </c>
      <c r="B275" s="194" t="s">
        <v>49</v>
      </c>
      <c r="C275" s="205" t="s">
        <v>232</v>
      </c>
      <c r="D275" s="195" t="s">
        <v>235</v>
      </c>
      <c r="E275" s="148">
        <v>95000</v>
      </c>
      <c r="F275" s="148">
        <v>95000</v>
      </c>
      <c r="G275" s="328">
        <v>95000</v>
      </c>
    </row>
    <row r="276" spans="1:7">
      <c r="A276" s="190">
        <v>3239</v>
      </c>
      <c r="B276" s="191" t="s">
        <v>53</v>
      </c>
      <c r="C276" s="198" t="s">
        <v>232</v>
      </c>
      <c r="D276" s="192" t="s">
        <v>82</v>
      </c>
      <c r="E276" s="147">
        <v>7500</v>
      </c>
      <c r="F276" s="147">
        <v>7500</v>
      </c>
      <c r="G276" s="203">
        <v>7500</v>
      </c>
    </row>
    <row r="277" spans="1:7">
      <c r="A277" s="193">
        <v>3239</v>
      </c>
      <c r="B277" s="194" t="s">
        <v>53</v>
      </c>
      <c r="C277" s="205" t="s">
        <v>232</v>
      </c>
      <c r="D277" s="195" t="s">
        <v>235</v>
      </c>
      <c r="E277" s="148">
        <v>50000</v>
      </c>
      <c r="F277" s="148">
        <v>50000</v>
      </c>
      <c r="G277" s="328">
        <v>50000</v>
      </c>
    </row>
    <row r="278" spans="1:7" hidden="1">
      <c r="A278" s="193">
        <v>3239</v>
      </c>
      <c r="B278" s="194" t="s">
        <v>53</v>
      </c>
      <c r="C278" s="205" t="s">
        <v>232</v>
      </c>
      <c r="D278" s="195" t="s">
        <v>315</v>
      </c>
      <c r="E278" s="148"/>
      <c r="F278" s="148"/>
      <c r="G278" s="328"/>
    </row>
    <row r="279" spans="1:7">
      <c r="A279" s="188" t="s">
        <v>54</v>
      </c>
      <c r="B279" s="189" t="s">
        <v>55</v>
      </c>
      <c r="C279" s="198" t="s">
        <v>232</v>
      </c>
      <c r="D279" s="146"/>
      <c r="E279" s="146">
        <f t="shared" ref="E279:G279" si="75">E280+E281+E282</f>
        <v>55000</v>
      </c>
      <c r="F279" s="146">
        <f t="shared" si="75"/>
        <v>55000</v>
      </c>
      <c r="G279" s="329">
        <f t="shared" si="75"/>
        <v>55000</v>
      </c>
    </row>
    <row r="280" spans="1:7">
      <c r="A280" s="190">
        <v>3241</v>
      </c>
      <c r="B280" s="191" t="s">
        <v>55</v>
      </c>
      <c r="C280" s="198" t="s">
        <v>232</v>
      </c>
      <c r="D280" s="192" t="s">
        <v>82</v>
      </c>
      <c r="E280" s="147">
        <v>10000</v>
      </c>
      <c r="F280" s="147">
        <v>10000</v>
      </c>
      <c r="G280" s="147">
        <v>10000</v>
      </c>
    </row>
    <row r="281" spans="1:7">
      <c r="A281" s="193">
        <v>3241</v>
      </c>
      <c r="B281" s="194" t="s">
        <v>55</v>
      </c>
      <c r="C281" s="205" t="s">
        <v>232</v>
      </c>
      <c r="D281" s="195" t="s">
        <v>235</v>
      </c>
      <c r="E281" s="148">
        <v>45000</v>
      </c>
      <c r="F281" s="148">
        <v>45000</v>
      </c>
      <c r="G281" s="328">
        <v>45000</v>
      </c>
    </row>
    <row r="282" spans="1:7" hidden="1">
      <c r="A282" s="193">
        <v>3241</v>
      </c>
      <c r="B282" s="194" t="s">
        <v>55</v>
      </c>
      <c r="C282" s="205" t="s">
        <v>232</v>
      </c>
      <c r="D282" s="195" t="s">
        <v>315</v>
      </c>
      <c r="E282" s="148"/>
      <c r="F282" s="148"/>
      <c r="G282" s="328"/>
    </row>
    <row r="283" spans="1:7">
      <c r="A283" s="188" t="s">
        <v>57</v>
      </c>
      <c r="B283" s="189" t="s">
        <v>58</v>
      </c>
      <c r="C283" s="198" t="s">
        <v>232</v>
      </c>
      <c r="D283" s="146"/>
      <c r="E283" s="146">
        <f t="shared" ref="E283:G283" si="76">E284+E285+E286</f>
        <v>92000</v>
      </c>
      <c r="F283" s="146">
        <f t="shared" si="76"/>
        <v>92000</v>
      </c>
      <c r="G283" s="329">
        <f t="shared" si="76"/>
        <v>92000</v>
      </c>
    </row>
    <row r="284" spans="1:7">
      <c r="A284" s="190">
        <v>3293</v>
      </c>
      <c r="B284" s="191" t="s">
        <v>64</v>
      </c>
      <c r="C284" s="198" t="s">
        <v>232</v>
      </c>
      <c r="D284" s="192" t="s">
        <v>82</v>
      </c>
      <c r="E284" s="147">
        <v>12000</v>
      </c>
      <c r="F284" s="147">
        <v>12000</v>
      </c>
      <c r="G284" s="203">
        <v>12000</v>
      </c>
    </row>
    <row r="285" spans="1:7">
      <c r="A285" s="193">
        <v>3293</v>
      </c>
      <c r="B285" s="194" t="s">
        <v>64</v>
      </c>
      <c r="C285" s="205" t="s">
        <v>232</v>
      </c>
      <c r="D285" s="195" t="s">
        <v>235</v>
      </c>
      <c r="E285" s="148">
        <v>80000</v>
      </c>
      <c r="F285" s="148">
        <v>80000</v>
      </c>
      <c r="G285" s="328">
        <v>80000</v>
      </c>
    </row>
    <row r="286" spans="1:7" hidden="1">
      <c r="A286" s="193">
        <v>3293</v>
      </c>
      <c r="B286" s="194" t="s">
        <v>64</v>
      </c>
      <c r="C286" s="205" t="s">
        <v>232</v>
      </c>
      <c r="D286" s="195" t="s">
        <v>315</v>
      </c>
      <c r="E286" s="148"/>
      <c r="F286" s="148"/>
      <c r="G286" s="328"/>
    </row>
    <row r="287" spans="1:7">
      <c r="A287" s="390" t="s">
        <v>411</v>
      </c>
      <c r="B287" s="185" t="s">
        <v>331</v>
      </c>
      <c r="C287" s="186" t="s">
        <v>233</v>
      </c>
      <c r="D287" s="187"/>
      <c r="E287" s="187">
        <f>E288+E291+E293+E295++E298</f>
        <v>3646155</v>
      </c>
      <c r="F287" s="187">
        <f t="shared" ref="F287:G287" si="77">F288+F291+F293+F295++F298</f>
        <v>0</v>
      </c>
      <c r="G287" s="187">
        <f t="shared" si="77"/>
        <v>0</v>
      </c>
    </row>
    <row r="288" spans="1:7">
      <c r="A288" s="188" t="s">
        <v>34</v>
      </c>
      <c r="B288" s="189" t="s">
        <v>35</v>
      </c>
      <c r="C288" s="198" t="s">
        <v>233</v>
      </c>
      <c r="D288" s="146"/>
      <c r="E288" s="146">
        <f>E289+E290</f>
        <v>74600</v>
      </c>
      <c r="F288" s="146">
        <f t="shared" ref="F288:G288" si="78">F289+F290</f>
        <v>0</v>
      </c>
      <c r="G288" s="146">
        <f t="shared" si="78"/>
        <v>0</v>
      </c>
    </row>
    <row r="289" spans="1:7">
      <c r="A289" s="190">
        <v>3237</v>
      </c>
      <c r="B289" s="191" t="s">
        <v>49</v>
      </c>
      <c r="C289" s="198" t="s">
        <v>233</v>
      </c>
      <c r="D289" s="192" t="s">
        <v>82</v>
      </c>
      <c r="E289" s="147">
        <v>10000</v>
      </c>
      <c r="F289" s="147"/>
      <c r="G289" s="203"/>
    </row>
    <row r="290" spans="1:7">
      <c r="A290" s="193">
        <v>3237</v>
      </c>
      <c r="B290" s="194" t="s">
        <v>49</v>
      </c>
      <c r="C290" s="205" t="s">
        <v>233</v>
      </c>
      <c r="D290" s="195" t="s">
        <v>234</v>
      </c>
      <c r="E290" s="148">
        <v>64600</v>
      </c>
      <c r="F290" s="148"/>
      <c r="G290" s="328"/>
    </row>
    <row r="291" spans="1:7">
      <c r="A291" s="196">
        <v>-352</v>
      </c>
      <c r="B291" s="46" t="s">
        <v>444</v>
      </c>
      <c r="C291" s="197" t="s">
        <v>233</v>
      </c>
      <c r="D291" s="180"/>
      <c r="E291" s="180">
        <f>E292</f>
        <v>10000</v>
      </c>
      <c r="F291" s="180">
        <f t="shared" ref="F291:G291" si="79">F292</f>
        <v>0</v>
      </c>
      <c r="G291" s="180">
        <f t="shared" si="79"/>
        <v>0</v>
      </c>
    </row>
    <row r="292" spans="1:7">
      <c r="A292" s="190">
        <v>3522</v>
      </c>
      <c r="B292" s="96" t="s">
        <v>443</v>
      </c>
      <c r="C292" s="192" t="s">
        <v>233</v>
      </c>
      <c r="D292" s="192" t="s">
        <v>82</v>
      </c>
      <c r="E292" s="147">
        <v>10000</v>
      </c>
      <c r="F292" s="147"/>
      <c r="G292" s="203"/>
    </row>
    <row r="293" spans="1:7">
      <c r="A293" s="455">
        <v>353</v>
      </c>
      <c r="B293" s="46" t="s">
        <v>443</v>
      </c>
      <c r="C293" s="460" t="s">
        <v>233</v>
      </c>
      <c r="D293" s="467"/>
      <c r="E293" s="450">
        <f>E294</f>
        <v>151809</v>
      </c>
      <c r="F293" s="450">
        <f t="shared" ref="F293:G293" si="80">F294</f>
        <v>0</v>
      </c>
      <c r="G293" s="450">
        <f t="shared" si="80"/>
        <v>0</v>
      </c>
    </row>
    <row r="294" spans="1:7">
      <c r="A294" s="193">
        <v>3531</v>
      </c>
      <c r="B294" s="553" t="s">
        <v>457</v>
      </c>
      <c r="C294" s="195" t="s">
        <v>233</v>
      </c>
      <c r="D294" s="195" t="s">
        <v>234</v>
      </c>
      <c r="E294" s="148">
        <v>151809</v>
      </c>
      <c r="F294" s="148">
        <v>0</v>
      </c>
      <c r="G294" s="328">
        <v>0</v>
      </c>
    </row>
    <row r="295" spans="1:7">
      <c r="A295" s="188" t="s">
        <v>332</v>
      </c>
      <c r="B295" s="189" t="s">
        <v>318</v>
      </c>
      <c r="C295" s="198" t="s">
        <v>233</v>
      </c>
      <c r="D295" s="146"/>
      <c r="E295" s="146">
        <f>E296+E297</f>
        <v>3169471</v>
      </c>
      <c r="F295" s="146">
        <f t="shared" ref="F295:G295" si="81">F296</f>
        <v>0</v>
      </c>
      <c r="G295" s="146">
        <f t="shared" si="81"/>
        <v>0</v>
      </c>
    </row>
    <row r="296" spans="1:7">
      <c r="A296" s="190">
        <v>3862</v>
      </c>
      <c r="B296" s="537" t="s">
        <v>445</v>
      </c>
      <c r="C296" s="192" t="s">
        <v>233</v>
      </c>
      <c r="D296" s="192" t="s">
        <v>82</v>
      </c>
      <c r="E296" s="147">
        <v>10000</v>
      </c>
      <c r="F296" s="147"/>
      <c r="G296" s="203"/>
    </row>
    <row r="297" spans="1:7">
      <c r="A297" s="193">
        <v>3864</v>
      </c>
      <c r="B297" s="554" t="s">
        <v>458</v>
      </c>
      <c r="C297" s="195"/>
      <c r="D297" s="195" t="s">
        <v>234</v>
      </c>
      <c r="E297" s="148">
        <v>3159471</v>
      </c>
      <c r="F297" s="148"/>
      <c r="G297" s="328"/>
    </row>
    <row r="298" spans="1:7">
      <c r="A298" s="215">
        <v>-426</v>
      </c>
      <c r="B298" s="202" t="s">
        <v>181</v>
      </c>
      <c r="C298" s="204" t="s">
        <v>233</v>
      </c>
      <c r="D298" s="151"/>
      <c r="E298" s="151">
        <f t="shared" ref="E298:G298" si="82">E299+E300</f>
        <v>240275</v>
      </c>
      <c r="F298" s="151">
        <f t="shared" si="82"/>
        <v>0</v>
      </c>
      <c r="G298" s="330">
        <f t="shared" si="82"/>
        <v>0</v>
      </c>
    </row>
    <row r="299" spans="1:7">
      <c r="A299" s="190">
        <v>4262</v>
      </c>
      <c r="B299" s="191" t="s">
        <v>288</v>
      </c>
      <c r="C299" s="192" t="s">
        <v>233</v>
      </c>
      <c r="D299" s="192" t="s">
        <v>82</v>
      </c>
      <c r="E299" s="147">
        <v>35000</v>
      </c>
      <c r="F299" s="147"/>
      <c r="G299" s="203"/>
    </row>
    <row r="300" spans="1:7">
      <c r="A300" s="193">
        <v>4262</v>
      </c>
      <c r="B300" s="194" t="s">
        <v>288</v>
      </c>
      <c r="C300" s="195" t="s">
        <v>233</v>
      </c>
      <c r="D300" s="195" t="s">
        <v>234</v>
      </c>
      <c r="E300" s="148">
        <v>205275</v>
      </c>
      <c r="F300" s="148"/>
      <c r="G300" s="328"/>
    </row>
    <row r="301" spans="1:7" ht="25.5" customHeight="1">
      <c r="A301" s="591" t="s">
        <v>377</v>
      </c>
      <c r="B301" s="592"/>
      <c r="C301" s="593"/>
      <c r="D301" s="82"/>
      <c r="E301" s="82">
        <f>E302+E308+E324+E336+E341+E345+E348</f>
        <v>194217500</v>
      </c>
      <c r="F301" s="82">
        <f t="shared" ref="F301:G301" si="83">F302+F308+F324+F336+F341+F345+F348</f>
        <v>103260516</v>
      </c>
      <c r="G301" s="82">
        <f t="shared" si="83"/>
        <v>97019559</v>
      </c>
    </row>
    <row r="302" spans="1:7">
      <c r="A302" s="390" t="s">
        <v>403</v>
      </c>
      <c r="B302" s="185" t="s">
        <v>416</v>
      </c>
      <c r="C302" s="186" t="s">
        <v>232</v>
      </c>
      <c r="D302" s="217"/>
      <c r="E302" s="217">
        <f>E303+E306</f>
        <v>700000</v>
      </c>
      <c r="F302" s="217">
        <f t="shared" ref="F302:G302" si="84">F303+F306</f>
        <v>700000</v>
      </c>
      <c r="G302" s="217">
        <f t="shared" si="84"/>
        <v>700000</v>
      </c>
    </row>
    <row r="303" spans="1:7">
      <c r="A303" s="188" t="s">
        <v>34</v>
      </c>
      <c r="B303" s="189" t="s">
        <v>35</v>
      </c>
      <c r="C303" s="198" t="s">
        <v>232</v>
      </c>
      <c r="D303" s="388">
        <v>11</v>
      </c>
      <c r="E303" s="179">
        <f>E304+E305</f>
        <v>650000</v>
      </c>
      <c r="F303" s="179">
        <f t="shared" ref="F303:G303" si="85">F304+F305</f>
        <v>650000</v>
      </c>
      <c r="G303" s="179">
        <f t="shared" si="85"/>
        <v>650000</v>
      </c>
    </row>
    <row r="304" spans="1:7">
      <c r="A304" s="190">
        <v>3235</v>
      </c>
      <c r="B304" s="191" t="s">
        <v>45</v>
      </c>
      <c r="C304" s="198" t="s">
        <v>232</v>
      </c>
      <c r="D304" s="387">
        <v>11</v>
      </c>
      <c r="E304" s="461">
        <v>50000</v>
      </c>
      <c r="F304" s="461">
        <v>50000</v>
      </c>
      <c r="G304" s="461">
        <v>50000</v>
      </c>
    </row>
    <row r="305" spans="1:7">
      <c r="A305" s="190">
        <v>3238</v>
      </c>
      <c r="B305" s="191" t="s">
        <v>51</v>
      </c>
      <c r="C305" s="198" t="s">
        <v>232</v>
      </c>
      <c r="D305" s="387">
        <v>11</v>
      </c>
      <c r="E305" s="461">
        <v>600000</v>
      </c>
      <c r="F305" s="64">
        <v>600000</v>
      </c>
      <c r="G305" s="318">
        <v>600000</v>
      </c>
    </row>
    <row r="306" spans="1:7">
      <c r="A306" s="188" t="s">
        <v>140</v>
      </c>
      <c r="B306" s="189" t="s">
        <v>181</v>
      </c>
      <c r="C306" s="449" t="s">
        <v>232</v>
      </c>
      <c r="D306" s="547">
        <v>11</v>
      </c>
      <c r="E306" s="457">
        <f>E307</f>
        <v>50000</v>
      </c>
      <c r="F306" s="457">
        <f t="shared" ref="F306:G306" si="86">F307</f>
        <v>50000</v>
      </c>
      <c r="G306" s="457">
        <f t="shared" si="86"/>
        <v>50000</v>
      </c>
    </row>
    <row r="307" spans="1:7">
      <c r="A307" s="452">
        <v>4262</v>
      </c>
      <c r="B307" s="548" t="s">
        <v>182</v>
      </c>
      <c r="C307" s="449" t="s">
        <v>232</v>
      </c>
      <c r="D307" s="547">
        <v>11</v>
      </c>
      <c r="E307" s="462">
        <v>50000</v>
      </c>
      <c r="F307" s="462">
        <v>50000</v>
      </c>
      <c r="G307" s="462">
        <v>50000</v>
      </c>
    </row>
    <row r="308" spans="1:7">
      <c r="A308" s="391" t="s">
        <v>404</v>
      </c>
      <c r="B308" s="200" t="s">
        <v>317</v>
      </c>
      <c r="C308" s="186" t="s">
        <v>232</v>
      </c>
      <c r="D308" s="267"/>
      <c r="E308" s="268">
        <f>E309+E314+E316+E319+E321</f>
        <v>7455000</v>
      </c>
      <c r="F308" s="268">
        <f t="shared" ref="F308:G308" si="87">F309+F314+F316+F319+F321</f>
        <v>12070000</v>
      </c>
      <c r="G308" s="268">
        <f t="shared" si="87"/>
        <v>12070000</v>
      </c>
    </row>
    <row r="309" spans="1:7">
      <c r="A309" s="201" t="s">
        <v>34</v>
      </c>
      <c r="B309" s="202" t="s">
        <v>35</v>
      </c>
      <c r="C309" s="198" t="s">
        <v>232</v>
      </c>
      <c r="D309" s="386">
        <v>11</v>
      </c>
      <c r="E309" s="179">
        <f>E310+E313</f>
        <v>1355000</v>
      </c>
      <c r="F309" s="179">
        <f t="shared" ref="F309:G309" si="88">F310+F313</f>
        <v>3500000</v>
      </c>
      <c r="G309" s="179">
        <f t="shared" si="88"/>
        <v>3500000</v>
      </c>
    </row>
    <row r="310" spans="1:7">
      <c r="A310" s="199">
        <v>3233</v>
      </c>
      <c r="B310" s="96" t="s">
        <v>41</v>
      </c>
      <c r="C310" s="198" t="s">
        <v>232</v>
      </c>
      <c r="D310" s="385">
        <v>11</v>
      </c>
      <c r="E310" s="461">
        <v>1330000</v>
      </c>
      <c r="F310" s="64">
        <v>3500000</v>
      </c>
      <c r="G310" s="318">
        <v>3500000</v>
      </c>
    </row>
    <row r="311" spans="1:7" ht="14.25" customHeight="1">
      <c r="A311" s="199">
        <v>3233</v>
      </c>
      <c r="B311" s="96" t="s">
        <v>41</v>
      </c>
      <c r="C311" s="449"/>
      <c r="D311" s="545">
        <v>12</v>
      </c>
      <c r="E311" s="549">
        <v>0</v>
      </c>
      <c r="F311" s="549">
        <v>0</v>
      </c>
      <c r="G311" s="549">
        <v>0</v>
      </c>
    </row>
    <row r="312" spans="1:7">
      <c r="A312" s="199">
        <v>3233</v>
      </c>
      <c r="B312" s="96" t="s">
        <v>41</v>
      </c>
      <c r="C312" s="449"/>
      <c r="D312" s="545">
        <v>563</v>
      </c>
      <c r="E312" s="549">
        <v>0</v>
      </c>
      <c r="F312" s="549">
        <v>0</v>
      </c>
      <c r="G312" s="549">
        <v>0</v>
      </c>
    </row>
    <row r="313" spans="1:7">
      <c r="A313" s="451">
        <v>3239</v>
      </c>
      <c r="B313" s="546" t="s">
        <v>53</v>
      </c>
      <c r="C313" s="449" t="s">
        <v>232</v>
      </c>
      <c r="D313" s="545">
        <v>11</v>
      </c>
      <c r="E313" s="462">
        <v>25000</v>
      </c>
      <c r="F313" s="453">
        <v>0</v>
      </c>
      <c r="G313" s="454">
        <v>0</v>
      </c>
    </row>
    <row r="314" spans="1:7">
      <c r="A314" s="196">
        <v>-329</v>
      </c>
      <c r="B314" s="46" t="s">
        <v>58</v>
      </c>
      <c r="C314" s="198" t="s">
        <v>232</v>
      </c>
      <c r="D314" s="386">
        <f t="shared" ref="D314:G314" si="89">D315</f>
        <v>11</v>
      </c>
      <c r="E314" s="179">
        <f t="shared" si="89"/>
        <v>700000</v>
      </c>
      <c r="F314" s="179">
        <f t="shared" si="89"/>
        <v>700000</v>
      </c>
      <c r="G314" s="179">
        <f t="shared" si="89"/>
        <v>700000</v>
      </c>
    </row>
    <row r="315" spans="1:7">
      <c r="A315" s="190">
        <v>3291</v>
      </c>
      <c r="B315" s="191" t="s">
        <v>442</v>
      </c>
      <c r="C315" s="198" t="s">
        <v>232</v>
      </c>
      <c r="D315" s="385">
        <v>11</v>
      </c>
      <c r="E315" s="461">
        <v>700000</v>
      </c>
      <c r="F315" s="64">
        <v>700000</v>
      </c>
      <c r="G315" s="318">
        <v>700000</v>
      </c>
    </row>
    <row r="316" spans="1:7">
      <c r="A316" s="196">
        <v>-352</v>
      </c>
      <c r="B316" s="46" t="s">
        <v>444</v>
      </c>
      <c r="C316" s="198" t="s">
        <v>232</v>
      </c>
      <c r="D316" s="386">
        <v>11</v>
      </c>
      <c r="E316" s="493">
        <f>E317+E318</f>
        <v>3000000</v>
      </c>
      <c r="F316" s="179">
        <f t="shared" ref="F316:G316" si="90">F317+F318</f>
        <v>3700000</v>
      </c>
      <c r="G316" s="179">
        <f t="shared" si="90"/>
        <v>3700000</v>
      </c>
    </row>
    <row r="317" spans="1:7">
      <c r="A317" s="190">
        <v>3522</v>
      </c>
      <c r="B317" s="96" t="s">
        <v>443</v>
      </c>
      <c r="C317" s="198" t="s">
        <v>232</v>
      </c>
      <c r="D317" s="385">
        <v>11</v>
      </c>
      <c r="E317" s="461">
        <v>1000000</v>
      </c>
      <c r="F317" s="64">
        <v>1200000</v>
      </c>
      <c r="G317" s="318">
        <v>1200000</v>
      </c>
    </row>
    <row r="318" spans="1:7">
      <c r="A318" s="190">
        <v>3523</v>
      </c>
      <c r="B318" s="536" t="s">
        <v>341</v>
      </c>
      <c r="C318" s="198" t="s">
        <v>232</v>
      </c>
      <c r="D318" s="385">
        <v>11</v>
      </c>
      <c r="E318" s="461">
        <v>2000000</v>
      </c>
      <c r="F318" s="64">
        <v>2500000</v>
      </c>
      <c r="G318" s="318">
        <v>2500000</v>
      </c>
    </row>
    <row r="319" spans="1:7" ht="14.25" customHeight="1">
      <c r="A319" s="196">
        <v>-381</v>
      </c>
      <c r="B319" s="189" t="s">
        <v>79</v>
      </c>
      <c r="C319" s="198" t="s">
        <v>232</v>
      </c>
      <c r="D319" s="386">
        <f t="shared" ref="D319:G319" si="91">D320</f>
        <v>11</v>
      </c>
      <c r="E319" s="179">
        <f t="shared" si="91"/>
        <v>1000000</v>
      </c>
      <c r="F319" s="179">
        <f t="shared" si="91"/>
        <v>1570000</v>
      </c>
      <c r="G319" s="179">
        <f t="shared" si="91"/>
        <v>1570000</v>
      </c>
    </row>
    <row r="320" spans="1:7">
      <c r="A320" s="190">
        <v>3811</v>
      </c>
      <c r="B320" s="191" t="s">
        <v>81</v>
      </c>
      <c r="C320" s="198" t="s">
        <v>232</v>
      </c>
      <c r="D320" s="385">
        <v>11</v>
      </c>
      <c r="E320" s="461">
        <v>1000000</v>
      </c>
      <c r="F320" s="64">
        <v>1570000</v>
      </c>
      <c r="G320" s="318">
        <v>1570000</v>
      </c>
    </row>
    <row r="321" spans="1:7">
      <c r="A321" s="196">
        <v>-386</v>
      </c>
      <c r="B321" s="189" t="s">
        <v>318</v>
      </c>
      <c r="C321" s="198" t="s">
        <v>232</v>
      </c>
      <c r="D321" s="386">
        <v>11</v>
      </c>
      <c r="E321" s="493">
        <f>E322+E323</f>
        <v>1400000</v>
      </c>
      <c r="F321" s="179">
        <f t="shared" ref="F321:G321" si="92">F322+F323</f>
        <v>2600000</v>
      </c>
      <c r="G321" s="179">
        <f t="shared" si="92"/>
        <v>2600000</v>
      </c>
    </row>
    <row r="322" spans="1:7" ht="14.25" customHeight="1">
      <c r="A322" s="190">
        <v>3862</v>
      </c>
      <c r="B322" s="537" t="s">
        <v>445</v>
      </c>
      <c r="C322" s="198" t="s">
        <v>232</v>
      </c>
      <c r="D322" s="385">
        <v>11</v>
      </c>
      <c r="E322" s="461">
        <v>875000</v>
      </c>
      <c r="F322" s="64">
        <v>1900000</v>
      </c>
      <c r="G322" s="318">
        <v>1900000</v>
      </c>
    </row>
    <row r="323" spans="1:7">
      <c r="A323" s="190">
        <v>3863</v>
      </c>
      <c r="B323" s="191" t="s">
        <v>319</v>
      </c>
      <c r="C323" s="198" t="s">
        <v>232</v>
      </c>
      <c r="D323" s="385">
        <v>11</v>
      </c>
      <c r="E323" s="461">
        <v>525000</v>
      </c>
      <c r="F323" s="64">
        <v>700000</v>
      </c>
      <c r="G323" s="318">
        <v>700000</v>
      </c>
    </row>
    <row r="324" spans="1:7">
      <c r="A324" s="391" t="s">
        <v>451</v>
      </c>
      <c r="B324" s="200" t="s">
        <v>452</v>
      </c>
      <c r="C324" s="186" t="s">
        <v>233</v>
      </c>
      <c r="D324" s="267"/>
      <c r="E324" s="268">
        <f>E327+E332+E334+E325</f>
        <v>630000</v>
      </c>
      <c r="F324" s="268">
        <f>F327+F332+F334+F325</f>
        <v>410000</v>
      </c>
      <c r="G324" s="268">
        <f>G327+G332+G334+G325</f>
        <v>440000</v>
      </c>
    </row>
    <row r="325" spans="1:7">
      <c r="A325" s="488" t="s">
        <v>16</v>
      </c>
      <c r="B325" s="487" t="s">
        <v>17</v>
      </c>
      <c r="C325" s="449" t="s">
        <v>233</v>
      </c>
      <c r="D325" s="455">
        <v>11</v>
      </c>
      <c r="E325" s="457">
        <f>SUM(E326)</f>
        <v>0</v>
      </c>
      <c r="F325" s="457">
        <f t="shared" ref="F325:G325" si="93">SUM(F326)</f>
        <v>0</v>
      </c>
      <c r="G325" s="457">
        <f t="shared" si="93"/>
        <v>0</v>
      </c>
    </row>
    <row r="326" spans="1:7">
      <c r="A326" s="489">
        <v>3211</v>
      </c>
      <c r="B326" s="476" t="s">
        <v>19</v>
      </c>
      <c r="C326" s="456" t="s">
        <v>233</v>
      </c>
      <c r="D326" s="452">
        <v>11</v>
      </c>
      <c r="E326" s="462">
        <v>0</v>
      </c>
      <c r="F326" s="453"/>
      <c r="G326" s="454"/>
    </row>
    <row r="327" spans="1:7">
      <c r="A327" s="201" t="s">
        <v>34</v>
      </c>
      <c r="B327" s="202" t="s">
        <v>35</v>
      </c>
      <c r="C327" s="198" t="s">
        <v>233</v>
      </c>
      <c r="D327" s="386">
        <v>11</v>
      </c>
      <c r="E327" s="179">
        <f>E328+E329+E330+E331</f>
        <v>320000</v>
      </c>
      <c r="F327" s="179">
        <f t="shared" ref="F327:G327" si="94">F328+F329+F330+F331</f>
        <v>215000</v>
      </c>
      <c r="G327" s="179">
        <f t="shared" si="94"/>
        <v>240000</v>
      </c>
    </row>
    <row r="328" spans="1:7">
      <c r="A328" s="199">
        <v>3233</v>
      </c>
      <c r="B328" s="96" t="s">
        <v>41</v>
      </c>
      <c r="C328" s="208" t="s">
        <v>233</v>
      </c>
      <c r="D328" s="385">
        <v>11</v>
      </c>
      <c r="E328" s="461">
        <v>50000</v>
      </c>
      <c r="F328" s="64">
        <v>120000</v>
      </c>
      <c r="G328" s="318">
        <v>140000</v>
      </c>
    </row>
    <row r="329" spans="1:7">
      <c r="A329" s="62" t="s">
        <v>44</v>
      </c>
      <c r="B329" s="96" t="s">
        <v>45</v>
      </c>
      <c r="C329" s="208" t="s">
        <v>233</v>
      </c>
      <c r="D329" s="169" t="s">
        <v>0</v>
      </c>
      <c r="E329" s="64">
        <v>180000</v>
      </c>
      <c r="F329" s="64">
        <v>65000</v>
      </c>
      <c r="G329" s="318">
        <v>70000</v>
      </c>
    </row>
    <row r="330" spans="1:7">
      <c r="A330" s="62" t="s">
        <v>48</v>
      </c>
      <c r="B330" s="96" t="s">
        <v>49</v>
      </c>
      <c r="C330" s="208" t="s">
        <v>233</v>
      </c>
      <c r="D330" s="169" t="s">
        <v>0</v>
      </c>
      <c r="E330" s="64">
        <v>70000</v>
      </c>
      <c r="F330" s="64">
        <v>0</v>
      </c>
      <c r="G330" s="318">
        <v>0</v>
      </c>
    </row>
    <row r="331" spans="1:7">
      <c r="A331" s="62" t="s">
        <v>52</v>
      </c>
      <c r="B331" s="96" t="s">
        <v>53</v>
      </c>
      <c r="C331" s="208" t="s">
        <v>233</v>
      </c>
      <c r="D331" s="169" t="s">
        <v>0</v>
      </c>
      <c r="E331" s="64">
        <v>20000</v>
      </c>
      <c r="F331" s="64">
        <v>30000</v>
      </c>
      <c r="G331" s="318">
        <v>30000</v>
      </c>
    </row>
    <row r="332" spans="1:7">
      <c r="A332" s="45" t="s">
        <v>54</v>
      </c>
      <c r="B332" s="46" t="s">
        <v>55</v>
      </c>
      <c r="C332" s="47" t="s">
        <v>233</v>
      </c>
      <c r="D332" s="47" t="s">
        <v>0</v>
      </c>
      <c r="E332" s="48">
        <f>E333</f>
        <v>60000</v>
      </c>
      <c r="F332" s="48">
        <f t="shared" ref="F332:G332" si="95">F333</f>
        <v>120000</v>
      </c>
      <c r="G332" s="48">
        <f t="shared" si="95"/>
        <v>120000</v>
      </c>
    </row>
    <row r="333" spans="1:7">
      <c r="A333" s="62" t="s">
        <v>56</v>
      </c>
      <c r="B333" s="96" t="s">
        <v>55</v>
      </c>
      <c r="C333" s="169" t="s">
        <v>233</v>
      </c>
      <c r="D333" s="169" t="s">
        <v>0</v>
      </c>
      <c r="E333" s="64">
        <v>60000</v>
      </c>
      <c r="F333" s="64">
        <v>120000</v>
      </c>
      <c r="G333" s="318">
        <v>120000</v>
      </c>
    </row>
    <row r="334" spans="1:7">
      <c r="A334" s="45" t="s">
        <v>57</v>
      </c>
      <c r="B334" s="46" t="s">
        <v>58</v>
      </c>
      <c r="C334" s="47" t="s">
        <v>233</v>
      </c>
      <c r="D334" s="47" t="s">
        <v>0</v>
      </c>
      <c r="E334" s="48">
        <f>SUM(E335)</f>
        <v>250000</v>
      </c>
      <c r="F334" s="48">
        <f t="shared" ref="F334:G334" si="96">SUM(F335)</f>
        <v>75000</v>
      </c>
      <c r="G334" s="48">
        <f t="shared" si="96"/>
        <v>80000</v>
      </c>
    </row>
    <row r="335" spans="1:7">
      <c r="A335" s="62" t="s">
        <v>63</v>
      </c>
      <c r="B335" s="96" t="s">
        <v>64</v>
      </c>
      <c r="C335" s="169" t="s">
        <v>233</v>
      </c>
      <c r="D335" s="169" t="s">
        <v>0</v>
      </c>
      <c r="E335" s="64">
        <v>250000</v>
      </c>
      <c r="F335" s="64">
        <v>75000</v>
      </c>
      <c r="G335" s="318">
        <v>80000</v>
      </c>
    </row>
    <row r="336" spans="1:7">
      <c r="A336" s="390" t="s">
        <v>405</v>
      </c>
      <c r="B336" s="185" t="s">
        <v>320</v>
      </c>
      <c r="C336" s="186" t="s">
        <v>233</v>
      </c>
      <c r="D336" s="268"/>
      <c r="E336" s="268">
        <f t="shared" ref="E336" si="97">E337+E339</f>
        <v>500000</v>
      </c>
      <c r="F336" s="268">
        <f t="shared" ref="F336:G336" si="98">F337+F339</f>
        <v>500000</v>
      </c>
      <c r="G336" s="326">
        <f t="shared" si="98"/>
        <v>500000</v>
      </c>
    </row>
    <row r="337" spans="1:7">
      <c r="A337" s="188" t="s">
        <v>34</v>
      </c>
      <c r="B337" s="189" t="s">
        <v>35</v>
      </c>
      <c r="C337" s="198" t="s">
        <v>233</v>
      </c>
      <c r="D337" s="388">
        <v>11</v>
      </c>
      <c r="E337" s="179">
        <f t="shared" ref="E337" si="99">E338</f>
        <v>150000</v>
      </c>
      <c r="F337" s="179">
        <f t="shared" ref="F337:G337" si="100">F338</f>
        <v>150000</v>
      </c>
      <c r="G337" s="323">
        <f t="shared" si="100"/>
        <v>150000</v>
      </c>
    </row>
    <row r="338" spans="1:7">
      <c r="A338" s="190">
        <v>3238</v>
      </c>
      <c r="B338" s="191" t="s">
        <v>51</v>
      </c>
      <c r="C338" s="192" t="s">
        <v>233</v>
      </c>
      <c r="D338" s="387">
        <v>11</v>
      </c>
      <c r="E338" s="461">
        <v>150000</v>
      </c>
      <c r="F338" s="461">
        <v>150000</v>
      </c>
      <c r="G338" s="463">
        <v>150000</v>
      </c>
    </row>
    <row r="339" spans="1:7">
      <c r="A339" s="188" t="s">
        <v>140</v>
      </c>
      <c r="B339" s="189" t="s">
        <v>181</v>
      </c>
      <c r="C339" s="197" t="s">
        <v>233</v>
      </c>
      <c r="D339" s="388">
        <f t="shared" ref="D339:E339" si="101">D340</f>
        <v>11</v>
      </c>
      <c r="E339" s="179">
        <f t="shared" si="101"/>
        <v>350000</v>
      </c>
      <c r="F339" s="179">
        <f t="shared" ref="F339:G339" si="102">F340</f>
        <v>350000</v>
      </c>
      <c r="G339" s="323">
        <f t="shared" si="102"/>
        <v>350000</v>
      </c>
    </row>
    <row r="340" spans="1:7">
      <c r="A340" s="190">
        <v>4262</v>
      </c>
      <c r="B340" s="191" t="s">
        <v>182</v>
      </c>
      <c r="C340" s="192" t="s">
        <v>233</v>
      </c>
      <c r="D340" s="387">
        <v>11</v>
      </c>
      <c r="E340" s="461">
        <v>350000</v>
      </c>
      <c r="F340" s="461">
        <v>350000</v>
      </c>
      <c r="G340" s="463">
        <v>350000</v>
      </c>
    </row>
    <row r="341" spans="1:7">
      <c r="A341" s="390" t="s">
        <v>406</v>
      </c>
      <c r="B341" s="185" t="s">
        <v>321</v>
      </c>
      <c r="C341" s="186" t="s">
        <v>232</v>
      </c>
      <c r="D341" s="187"/>
      <c r="E341" s="187">
        <f t="shared" ref="E341:G341" si="103">E342</f>
        <v>27000000</v>
      </c>
      <c r="F341" s="187">
        <f t="shared" si="103"/>
        <v>23800000</v>
      </c>
      <c r="G341" s="327">
        <f t="shared" si="103"/>
        <v>19200000</v>
      </c>
    </row>
    <row r="342" spans="1:7">
      <c r="A342" s="188" t="s">
        <v>196</v>
      </c>
      <c r="B342" s="46" t="s">
        <v>444</v>
      </c>
      <c r="C342" s="206" t="s">
        <v>232</v>
      </c>
      <c r="D342" s="389">
        <v>11</v>
      </c>
      <c r="E342" s="146">
        <f>E343+E344</f>
        <v>27000000</v>
      </c>
      <c r="F342" s="146">
        <f t="shared" ref="F342:G342" si="104">F343+F344</f>
        <v>23800000</v>
      </c>
      <c r="G342" s="146">
        <f t="shared" si="104"/>
        <v>19200000</v>
      </c>
    </row>
    <row r="343" spans="1:7">
      <c r="A343" s="190" t="s">
        <v>197</v>
      </c>
      <c r="B343" s="96" t="s">
        <v>443</v>
      </c>
      <c r="C343" s="206" t="s">
        <v>232</v>
      </c>
      <c r="D343" s="208" t="s">
        <v>0</v>
      </c>
      <c r="E343" s="149">
        <v>17400000</v>
      </c>
      <c r="F343" s="149">
        <v>16000000</v>
      </c>
      <c r="G343" s="296">
        <v>12900000</v>
      </c>
    </row>
    <row r="344" spans="1:7">
      <c r="A344" s="190">
        <v>3523</v>
      </c>
      <c r="B344" s="536" t="s">
        <v>341</v>
      </c>
      <c r="C344" s="206" t="s">
        <v>232</v>
      </c>
      <c r="D344" s="192" t="s">
        <v>0</v>
      </c>
      <c r="E344" s="147">
        <v>9600000</v>
      </c>
      <c r="F344" s="147">
        <v>7800000</v>
      </c>
      <c r="G344" s="203">
        <v>6300000</v>
      </c>
    </row>
    <row r="345" spans="1:7">
      <c r="A345" s="390" t="s">
        <v>407</v>
      </c>
      <c r="B345" s="185" t="s">
        <v>322</v>
      </c>
      <c r="C345" s="186" t="s">
        <v>227</v>
      </c>
      <c r="D345" s="187"/>
      <c r="E345" s="187">
        <f t="shared" ref="E345:G346" si="105">E346</f>
        <v>157000000</v>
      </c>
      <c r="F345" s="187">
        <f t="shared" si="105"/>
        <v>65000000</v>
      </c>
      <c r="G345" s="187">
        <f t="shared" si="105"/>
        <v>63000000</v>
      </c>
    </row>
    <row r="346" spans="1:7">
      <c r="A346" s="188" t="s">
        <v>323</v>
      </c>
      <c r="B346" s="189" t="s">
        <v>446</v>
      </c>
      <c r="C346" s="198" t="s">
        <v>227</v>
      </c>
      <c r="D346" s="389">
        <v>11</v>
      </c>
      <c r="E346" s="146">
        <f t="shared" si="105"/>
        <v>157000000</v>
      </c>
      <c r="F346" s="146">
        <f t="shared" si="105"/>
        <v>65000000</v>
      </c>
      <c r="G346" s="146">
        <f t="shared" si="105"/>
        <v>63000000</v>
      </c>
    </row>
    <row r="347" spans="1:7">
      <c r="A347" s="218">
        <v>5314</v>
      </c>
      <c r="B347" s="207" t="s">
        <v>447</v>
      </c>
      <c r="C347" s="192" t="s">
        <v>227</v>
      </c>
      <c r="D347" s="192" t="s">
        <v>0</v>
      </c>
      <c r="E347" s="147">
        <v>157000000</v>
      </c>
      <c r="F347" s="147">
        <v>65000000</v>
      </c>
      <c r="G347" s="203">
        <v>63000000</v>
      </c>
    </row>
    <row r="348" spans="1:7">
      <c r="A348" s="390" t="s">
        <v>409</v>
      </c>
      <c r="B348" s="185" t="s">
        <v>327</v>
      </c>
      <c r="C348" s="186" t="s">
        <v>233</v>
      </c>
      <c r="D348" s="187"/>
      <c r="E348" s="187">
        <f>E349+E351</f>
        <v>932500</v>
      </c>
      <c r="F348" s="187">
        <f t="shared" ref="F348:G348" si="106">F349+F351</f>
        <v>780516</v>
      </c>
      <c r="G348" s="187">
        <f t="shared" si="106"/>
        <v>1109559</v>
      </c>
    </row>
    <row r="349" spans="1:7">
      <c r="A349" s="45" t="s">
        <v>24</v>
      </c>
      <c r="B349" s="46" t="s">
        <v>25</v>
      </c>
      <c r="C349" s="497" t="s">
        <v>233</v>
      </c>
      <c r="D349" s="498"/>
      <c r="E349" s="498">
        <f>E350</f>
        <v>532500</v>
      </c>
      <c r="F349" s="498">
        <f t="shared" ref="F349:G349" si="107">F350</f>
        <v>780516</v>
      </c>
      <c r="G349" s="498">
        <f t="shared" si="107"/>
        <v>1109559</v>
      </c>
    </row>
    <row r="350" spans="1:7">
      <c r="A350" s="538" t="s">
        <v>28</v>
      </c>
      <c r="B350" s="539" t="s">
        <v>29</v>
      </c>
      <c r="C350" s="540" t="s">
        <v>233</v>
      </c>
      <c r="D350" s="541"/>
      <c r="E350" s="541">
        <v>532500</v>
      </c>
      <c r="F350" s="541">
        <v>780516</v>
      </c>
      <c r="G350" s="541">
        <v>1109559</v>
      </c>
    </row>
    <row r="351" spans="1:7">
      <c r="A351" s="519" t="s">
        <v>328</v>
      </c>
      <c r="B351" s="448" t="s">
        <v>329</v>
      </c>
      <c r="C351" s="497" t="s">
        <v>233</v>
      </c>
      <c r="D351" s="520">
        <v>11</v>
      </c>
      <c r="E351" s="498">
        <f t="shared" ref="E351:G351" si="108">E352</f>
        <v>400000</v>
      </c>
      <c r="F351" s="498">
        <f t="shared" si="108"/>
        <v>0</v>
      </c>
      <c r="G351" s="521">
        <f t="shared" si="108"/>
        <v>0</v>
      </c>
    </row>
    <row r="352" spans="1:7">
      <c r="A352" s="522">
        <v>5121</v>
      </c>
      <c r="B352" s="523" t="s">
        <v>330</v>
      </c>
      <c r="C352" s="524" t="s">
        <v>233</v>
      </c>
      <c r="D352" s="525" t="s">
        <v>0</v>
      </c>
      <c r="E352" s="526">
        <v>400000</v>
      </c>
      <c r="F352" s="526">
        <v>0</v>
      </c>
      <c r="G352" s="526">
        <v>0</v>
      </c>
    </row>
    <row r="353" spans="1:7">
      <c r="A353" s="275"/>
      <c r="B353" s="276"/>
      <c r="C353" s="270"/>
      <c r="D353" s="269"/>
      <c r="E353" s="269"/>
      <c r="F353" s="269"/>
      <c r="G353" s="269"/>
    </row>
    <row r="354" spans="1:7">
      <c r="A354" s="275"/>
      <c r="B354" s="276" t="s">
        <v>376</v>
      </c>
      <c r="C354" s="270"/>
      <c r="D354" s="269"/>
      <c r="E354" s="269">
        <f>E3+E4+E6+E8+E9+E10+E11+E12+E13+E14</f>
        <v>1416121771</v>
      </c>
      <c r="F354" s="269">
        <f>F3+F4+F6+F8+F9+F10+F11+F12+F13+F14</f>
        <v>1148260110</v>
      </c>
      <c r="G354" s="269">
        <f t="shared" ref="G354" si="109">G3+G4+G6+G8+G9+G10+G11+G12+G13+G14</f>
        <v>1547295674</v>
      </c>
    </row>
    <row r="355" spans="1:7">
      <c r="B355" s="276" t="s">
        <v>439</v>
      </c>
      <c r="C355" s="270"/>
      <c r="D355" s="270"/>
      <c r="E355" s="269">
        <f>E15+E103+E126+E167+E301</f>
        <v>1834121771</v>
      </c>
      <c r="F355" s="269">
        <f>F15+F103+F126+F167+F301</f>
        <v>1566260110</v>
      </c>
      <c r="G355" s="269">
        <f>G15+G103+G126+G167+G301</f>
        <v>1547295674</v>
      </c>
    </row>
    <row r="356" spans="1:7">
      <c r="E356" s="274"/>
      <c r="F356" s="274"/>
      <c r="G356" s="274"/>
    </row>
    <row r="357" spans="1:7">
      <c r="B357" s="276" t="s">
        <v>448</v>
      </c>
      <c r="E357" s="269">
        <v>597453423</v>
      </c>
      <c r="F357" s="273">
        <v>230207860</v>
      </c>
      <c r="G357" s="273">
        <v>230666903</v>
      </c>
    </row>
    <row r="358" spans="1:7">
      <c r="E358" s="533"/>
      <c r="F358" s="269"/>
    </row>
    <row r="359" spans="1:7">
      <c r="E359" s="550"/>
      <c r="F359" s="550"/>
      <c r="G359" s="550"/>
    </row>
    <row r="360" spans="1:7">
      <c r="E360" s="533"/>
    </row>
    <row r="361" spans="1:7">
      <c r="E361" s="533"/>
      <c r="F361" s="274"/>
      <c r="G361" s="274"/>
    </row>
    <row r="363" spans="1:7">
      <c r="E363" s="274"/>
    </row>
  </sheetData>
  <mergeCells count="7">
    <mergeCell ref="A301:C301"/>
    <mergeCell ref="A167:C167"/>
    <mergeCell ref="B2:C2"/>
    <mergeCell ref="A3:C14"/>
    <mergeCell ref="A15:C15"/>
    <mergeCell ref="A103:C103"/>
    <mergeCell ref="A126:C126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>
    <oddFooter>&amp;CMINISTARSTVO&amp;R&amp;P</oddFooter>
  </headerFooter>
  <rowBreaks count="10" manualBreakCount="10">
    <brk id="35" max="6" man="1"/>
    <brk id="71" max="6" man="1"/>
    <brk id="107" max="6" man="1"/>
    <brk id="141" max="6" man="1"/>
    <brk id="175" max="6" man="1"/>
    <brk id="211" max="6" man="1"/>
    <brk id="250" max="8" man="1"/>
    <brk id="290" max="8" man="1"/>
    <brk id="323" max="8" man="1"/>
    <brk id="357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view="pageBreakPreview" zoomScaleNormal="110" zoomScaleSheetLayoutView="100" workbookViewId="0">
      <pane ySplit="13" topLeftCell="A91" activePane="bottomLeft" state="frozen"/>
      <selection pane="bottomLeft" activeCell="H7" sqref="H7"/>
    </sheetView>
  </sheetViews>
  <sheetFormatPr defaultRowHeight="15"/>
  <cols>
    <col min="1" max="1" width="10.7109375" style="66" customWidth="1"/>
    <col min="2" max="2" width="50.7109375" customWidth="1"/>
    <col min="3" max="3" width="5.7109375" customWidth="1"/>
    <col min="4" max="4" width="14.7109375" style="44" customWidth="1"/>
    <col min="5" max="5" width="5.7109375" customWidth="1"/>
    <col min="6" max="7" width="16.7109375" style="154" customWidth="1"/>
    <col min="8" max="8" width="16.7109375" customWidth="1"/>
    <col min="9" max="9" width="15" customWidth="1"/>
    <col min="10" max="10" width="11" customWidth="1"/>
    <col min="11" max="11" width="10.7109375" customWidth="1"/>
  </cols>
  <sheetData>
    <row r="1" spans="1:9" ht="30" customHeight="1">
      <c r="A1" s="83"/>
      <c r="B1" s="84"/>
      <c r="C1" s="85" t="s">
        <v>220</v>
      </c>
      <c r="D1" s="85" t="s">
        <v>301</v>
      </c>
      <c r="E1" s="85" t="s">
        <v>180</v>
      </c>
      <c r="F1" s="80" t="s">
        <v>398</v>
      </c>
      <c r="G1" s="80" t="s">
        <v>399</v>
      </c>
      <c r="H1" s="316" t="s">
        <v>400</v>
      </c>
    </row>
    <row r="2" spans="1:9" ht="25.5" customHeight="1">
      <c r="A2" s="86" t="s">
        <v>99</v>
      </c>
      <c r="B2" s="87" t="s">
        <v>100</v>
      </c>
      <c r="C2" s="88"/>
      <c r="D2" s="89">
        <f>D14+D59+D62+D65+D68+D81+D105+D108+D111+D116+D119+D76+D122</f>
        <v>105330000</v>
      </c>
      <c r="E2" s="88"/>
      <c r="F2" s="117">
        <f>F14+F59+F62+F65+F68+F81+F105+F108+F111+F116+F119+F76+F122</f>
        <v>39190888</v>
      </c>
      <c r="G2" s="117">
        <f>G14+G59+G62+G65+G68+G81+G105+G108+G111+G116+G119+G76+G122</f>
        <v>38890888</v>
      </c>
      <c r="H2" s="89">
        <f>H14+H59+H62+H65+H68+H81+H105+H108+H111+H116+H119+H76+H122</f>
        <v>38890888</v>
      </c>
      <c r="I2" s="26"/>
    </row>
    <row r="3" spans="1:9" ht="15" customHeight="1">
      <c r="A3" s="599"/>
      <c r="B3" s="599"/>
      <c r="C3" s="600"/>
      <c r="D3" s="25">
        <f>D14+D59+D62+D65+D68+D76</f>
        <v>72000000</v>
      </c>
      <c r="E3" s="94">
        <v>11</v>
      </c>
      <c r="F3" s="152">
        <f>F14+F59+F62+F65+F68+F76-F34</f>
        <v>36015888</v>
      </c>
      <c r="G3" s="152">
        <f t="shared" ref="G3:H3" si="0">G14+G59+G62+G65+G68+G76-G34</f>
        <v>35715888</v>
      </c>
      <c r="H3" s="152">
        <f t="shared" si="0"/>
        <v>35715888</v>
      </c>
      <c r="I3" s="26"/>
    </row>
    <row r="4" spans="1:9">
      <c r="A4" s="601"/>
      <c r="B4" s="601"/>
      <c r="C4" s="602"/>
      <c r="D4" s="25">
        <v>0</v>
      </c>
      <c r="E4" s="24">
        <v>12</v>
      </c>
      <c r="F4" s="152">
        <v>0</v>
      </c>
      <c r="G4" s="152">
        <v>0</v>
      </c>
      <c r="H4" s="25">
        <v>0</v>
      </c>
    </row>
    <row r="5" spans="1:9">
      <c r="A5" s="601"/>
      <c r="B5" s="601"/>
      <c r="C5" s="602"/>
      <c r="D5" s="33">
        <f>D3+D4</f>
        <v>72000000</v>
      </c>
      <c r="E5" s="34" t="s">
        <v>267</v>
      </c>
      <c r="F5" s="153">
        <f>F3+F4</f>
        <v>36015888</v>
      </c>
      <c r="G5" s="153">
        <f>G3+G4</f>
        <v>35715888</v>
      </c>
      <c r="H5" s="33">
        <f>H3+H4</f>
        <v>35715888</v>
      </c>
    </row>
    <row r="6" spans="1:9" s="44" customFormat="1">
      <c r="A6" s="601"/>
      <c r="B6" s="601"/>
      <c r="C6" s="602"/>
      <c r="D6" s="560"/>
      <c r="E6" s="561" t="s">
        <v>272</v>
      </c>
      <c r="F6" s="562">
        <f>F34</f>
        <v>73000</v>
      </c>
      <c r="G6" s="562">
        <f t="shared" ref="G6:H6" si="1">G34</f>
        <v>73000</v>
      </c>
      <c r="H6" s="562">
        <f t="shared" si="1"/>
        <v>73000</v>
      </c>
    </row>
    <row r="7" spans="1:9">
      <c r="A7" s="601"/>
      <c r="B7" s="601"/>
      <c r="C7" s="602"/>
      <c r="D7" s="25">
        <f>D81+D105+D108+D111</f>
        <v>2000000</v>
      </c>
      <c r="E7" s="24" t="s">
        <v>216</v>
      </c>
      <c r="F7" s="152">
        <f>F81+F105+F108+F111</f>
        <v>2027000</v>
      </c>
      <c r="G7" s="152">
        <f>G81+G105+G108+G111</f>
        <v>2027000</v>
      </c>
      <c r="H7" s="25">
        <f>H81+H105+H108+H111</f>
        <v>2027000</v>
      </c>
    </row>
    <row r="8" spans="1:9">
      <c r="A8" s="601"/>
      <c r="B8" s="601"/>
      <c r="C8" s="602"/>
      <c r="D8" s="25">
        <f>D116+D119</f>
        <v>1175000</v>
      </c>
      <c r="E8" s="24">
        <v>71</v>
      </c>
      <c r="F8" s="152">
        <f t="shared" ref="F8:G8" si="2">F116+F119</f>
        <v>1075000</v>
      </c>
      <c r="G8" s="152">
        <f t="shared" si="2"/>
        <v>1075000</v>
      </c>
      <c r="H8" s="25">
        <f>H116+H119</f>
        <v>1075000</v>
      </c>
    </row>
    <row r="9" spans="1:9">
      <c r="A9" s="601"/>
      <c r="B9" s="601"/>
      <c r="C9" s="602"/>
      <c r="D9" s="25">
        <v>0</v>
      </c>
      <c r="E9" s="24" t="s">
        <v>264</v>
      </c>
      <c r="F9" s="152">
        <v>0</v>
      </c>
      <c r="G9" s="152">
        <v>0</v>
      </c>
      <c r="H9" s="25">
        <v>0</v>
      </c>
    </row>
    <row r="10" spans="1:9">
      <c r="A10" s="601"/>
      <c r="B10" s="601"/>
      <c r="C10" s="602"/>
      <c r="D10" s="25">
        <v>0</v>
      </c>
      <c r="E10" s="24" t="s">
        <v>265</v>
      </c>
      <c r="F10" s="152">
        <v>0</v>
      </c>
      <c r="G10" s="152">
        <v>0</v>
      </c>
      <c r="H10" s="25">
        <v>0</v>
      </c>
    </row>
    <row r="11" spans="1:9">
      <c r="A11" s="601"/>
      <c r="B11" s="601"/>
      <c r="C11" s="602"/>
      <c r="D11" s="25">
        <v>0</v>
      </c>
      <c r="E11" s="24" t="s">
        <v>234</v>
      </c>
      <c r="F11" s="152">
        <v>0</v>
      </c>
      <c r="G11" s="152">
        <v>0</v>
      </c>
      <c r="H11" s="25">
        <v>0</v>
      </c>
    </row>
    <row r="12" spans="1:9">
      <c r="A12" s="613"/>
      <c r="B12" s="613"/>
      <c r="C12" s="614"/>
      <c r="D12" s="25">
        <f>D122</f>
        <v>30155000</v>
      </c>
      <c r="E12" s="24" t="s">
        <v>292</v>
      </c>
      <c r="F12" s="152">
        <f t="shared" ref="F12:G12" si="3">F122</f>
        <v>0</v>
      </c>
      <c r="G12" s="152">
        <f t="shared" si="3"/>
        <v>0</v>
      </c>
      <c r="H12" s="25">
        <f>H122</f>
        <v>0</v>
      </c>
    </row>
    <row r="13" spans="1:9" ht="25.5" customHeight="1">
      <c r="A13" s="609" t="s">
        <v>221</v>
      </c>
      <c r="B13" s="610"/>
      <c r="C13" s="610"/>
      <c r="D13" s="610"/>
      <c r="E13" s="610"/>
      <c r="F13" s="611"/>
      <c r="G13" s="612"/>
      <c r="H13" s="610"/>
    </row>
    <row r="14" spans="1:9">
      <c r="A14" s="67" t="s">
        <v>101</v>
      </c>
      <c r="B14" s="11" t="s">
        <v>102</v>
      </c>
      <c r="C14" s="13"/>
      <c r="D14" s="392">
        <f>D15+D17+D19+D22+D26+D31+D40+D42+D49+D52+D57</f>
        <v>7611676</v>
      </c>
      <c r="E14" s="13" t="s">
        <v>0</v>
      </c>
      <c r="F14" s="158">
        <f>F15+F17+F19+F22+F26+F31+F40+F42+F49+F52+F57</f>
        <v>7255637</v>
      </c>
      <c r="G14" s="158">
        <f t="shared" ref="G14" si="4">G15+G17+G19+G22+G26+G31+G40+G42+G49+G52+G57</f>
        <v>7493996</v>
      </c>
      <c r="H14" s="392">
        <f>H15+H17+H19+H22+H26+H31+H40+H42+H49+H52+H57</f>
        <v>7495127</v>
      </c>
    </row>
    <row r="15" spans="1:9">
      <c r="A15" s="68" t="s">
        <v>1</v>
      </c>
      <c r="B15" s="6" t="s">
        <v>2</v>
      </c>
      <c r="C15" s="5" t="s">
        <v>225</v>
      </c>
      <c r="D15" s="393">
        <f>D16</f>
        <v>1910300</v>
      </c>
      <c r="E15" s="5" t="s">
        <v>0</v>
      </c>
      <c r="F15" s="159">
        <f>F16</f>
        <v>2119886</v>
      </c>
      <c r="G15" s="159">
        <f>G16</f>
        <v>2147092</v>
      </c>
      <c r="H15" s="393">
        <f>H16</f>
        <v>2164531</v>
      </c>
    </row>
    <row r="16" spans="1:9">
      <c r="A16" s="69" t="s">
        <v>3</v>
      </c>
      <c r="B16" s="7" t="s">
        <v>4</v>
      </c>
      <c r="C16" s="10" t="s">
        <v>225</v>
      </c>
      <c r="D16" s="394">
        <v>1910300</v>
      </c>
      <c r="E16" s="10" t="s">
        <v>0</v>
      </c>
      <c r="F16" s="160">
        <v>2119886</v>
      </c>
      <c r="G16" s="160">
        <v>2147092</v>
      </c>
      <c r="H16" s="394">
        <v>2164531</v>
      </c>
    </row>
    <row r="17" spans="1:8">
      <c r="A17" s="68" t="s">
        <v>7</v>
      </c>
      <c r="B17" s="6" t="s">
        <v>8</v>
      </c>
      <c r="C17" s="5" t="s">
        <v>225</v>
      </c>
      <c r="D17" s="393">
        <f>D18</f>
        <v>45000</v>
      </c>
      <c r="E17" s="5" t="s">
        <v>0</v>
      </c>
      <c r="F17" s="159">
        <f>F18</f>
        <v>35000</v>
      </c>
      <c r="G17" s="159">
        <f>G18</f>
        <v>40000</v>
      </c>
      <c r="H17" s="393">
        <f>H18</f>
        <v>35000</v>
      </c>
    </row>
    <row r="18" spans="1:8">
      <c r="A18" s="69" t="s">
        <v>9</v>
      </c>
      <c r="B18" s="7" t="s">
        <v>8</v>
      </c>
      <c r="C18" s="10" t="s">
        <v>225</v>
      </c>
      <c r="D18" s="394">
        <v>45000</v>
      </c>
      <c r="E18" s="10" t="s">
        <v>0</v>
      </c>
      <c r="F18" s="160">
        <v>35000</v>
      </c>
      <c r="G18" s="160">
        <v>40000</v>
      </c>
      <c r="H18" s="394">
        <v>35000</v>
      </c>
    </row>
    <row r="19" spans="1:8">
      <c r="A19" s="68" t="s">
        <v>10</v>
      </c>
      <c r="B19" s="6" t="s">
        <v>11</v>
      </c>
      <c r="C19" s="5" t="s">
        <v>225</v>
      </c>
      <c r="D19" s="393">
        <f>D20+D21</f>
        <v>328563</v>
      </c>
      <c r="E19" s="5" t="s">
        <v>0</v>
      </c>
      <c r="F19" s="159">
        <f>F20+F21</f>
        <v>363751</v>
      </c>
      <c r="G19" s="159">
        <f>G20+G21</f>
        <v>367404</v>
      </c>
      <c r="H19" s="393">
        <f>H20+H21</f>
        <v>371096</v>
      </c>
    </row>
    <row r="20" spans="1:8">
      <c r="A20" s="69" t="s">
        <v>12</v>
      </c>
      <c r="B20" s="7" t="s">
        <v>13</v>
      </c>
      <c r="C20" s="10" t="s">
        <v>225</v>
      </c>
      <c r="D20" s="394">
        <v>296090</v>
      </c>
      <c r="E20" s="10" t="s">
        <v>0</v>
      </c>
      <c r="F20" s="160">
        <v>327800</v>
      </c>
      <c r="G20" s="160">
        <v>331092</v>
      </c>
      <c r="H20" s="394">
        <v>334548</v>
      </c>
    </row>
    <row r="21" spans="1:8">
      <c r="A21" s="69" t="s">
        <v>14</v>
      </c>
      <c r="B21" s="7" t="s">
        <v>15</v>
      </c>
      <c r="C21" s="10" t="s">
        <v>225</v>
      </c>
      <c r="D21" s="394">
        <v>32473</v>
      </c>
      <c r="E21" s="10" t="s">
        <v>0</v>
      </c>
      <c r="F21" s="160">
        <v>35951</v>
      </c>
      <c r="G21" s="160">
        <v>36312</v>
      </c>
      <c r="H21" s="394">
        <v>36548</v>
      </c>
    </row>
    <row r="22" spans="1:8">
      <c r="A22" s="68" t="s">
        <v>16</v>
      </c>
      <c r="B22" s="6" t="s">
        <v>17</v>
      </c>
      <c r="C22" s="5" t="s">
        <v>225</v>
      </c>
      <c r="D22" s="393">
        <f>D23+D24+D25</f>
        <v>215000</v>
      </c>
      <c r="E22" s="5" t="s">
        <v>0</v>
      </c>
      <c r="F22" s="159">
        <f>F23+F24+F25</f>
        <v>200000</v>
      </c>
      <c r="G22" s="159">
        <f>G23+G24+G25</f>
        <v>190000</v>
      </c>
      <c r="H22" s="393">
        <f>H23+H24+H25</f>
        <v>190000</v>
      </c>
    </row>
    <row r="23" spans="1:8">
      <c r="A23" s="69" t="s">
        <v>18</v>
      </c>
      <c r="B23" s="7" t="s">
        <v>19</v>
      </c>
      <c r="C23" s="10" t="s">
        <v>225</v>
      </c>
      <c r="D23" s="394">
        <v>100000</v>
      </c>
      <c r="E23" s="10" t="s">
        <v>0</v>
      </c>
      <c r="F23" s="160">
        <v>90000</v>
      </c>
      <c r="G23" s="160">
        <v>80000</v>
      </c>
      <c r="H23" s="394">
        <v>80000</v>
      </c>
    </row>
    <row r="24" spans="1:8">
      <c r="A24" s="69" t="s">
        <v>20</v>
      </c>
      <c r="B24" s="7" t="s">
        <v>21</v>
      </c>
      <c r="C24" s="10" t="s">
        <v>225</v>
      </c>
      <c r="D24" s="394">
        <v>100000</v>
      </c>
      <c r="E24" s="10" t="s">
        <v>0</v>
      </c>
      <c r="F24" s="160">
        <v>100000</v>
      </c>
      <c r="G24" s="160">
        <v>100000</v>
      </c>
      <c r="H24" s="394">
        <v>100000</v>
      </c>
    </row>
    <row r="25" spans="1:8">
      <c r="A25" s="69" t="s">
        <v>22</v>
      </c>
      <c r="B25" s="7" t="s">
        <v>23</v>
      </c>
      <c r="C25" s="10" t="s">
        <v>225</v>
      </c>
      <c r="D25" s="394">
        <v>15000</v>
      </c>
      <c r="E25" s="10" t="s">
        <v>0</v>
      </c>
      <c r="F25" s="160">
        <v>10000</v>
      </c>
      <c r="G25" s="160">
        <v>10000</v>
      </c>
      <c r="H25" s="394">
        <v>10000</v>
      </c>
    </row>
    <row r="26" spans="1:8">
      <c r="A26" s="68" t="s">
        <v>24</v>
      </c>
      <c r="B26" s="6" t="s">
        <v>25</v>
      </c>
      <c r="C26" s="5" t="s">
        <v>225</v>
      </c>
      <c r="D26" s="393">
        <f>D27+D28+D29+D30</f>
        <v>226000</v>
      </c>
      <c r="E26" s="5" t="s">
        <v>0</v>
      </c>
      <c r="F26" s="159">
        <f>F27+F28+F29+F30</f>
        <v>180000</v>
      </c>
      <c r="G26" s="159">
        <f>G27+G28+G29+G30</f>
        <v>182500</v>
      </c>
      <c r="H26" s="393">
        <f>H27+H28+H29+H30</f>
        <v>182500</v>
      </c>
    </row>
    <row r="27" spans="1:8">
      <c r="A27" s="69" t="s">
        <v>26</v>
      </c>
      <c r="B27" s="7" t="s">
        <v>27</v>
      </c>
      <c r="C27" s="10" t="s">
        <v>225</v>
      </c>
      <c r="D27" s="394">
        <v>56000</v>
      </c>
      <c r="E27" s="10" t="s">
        <v>0</v>
      </c>
      <c r="F27" s="160">
        <v>50000</v>
      </c>
      <c r="G27" s="160">
        <v>50000</v>
      </c>
      <c r="H27" s="394">
        <v>50000</v>
      </c>
    </row>
    <row r="28" spans="1:8">
      <c r="A28" s="69" t="s">
        <v>28</v>
      </c>
      <c r="B28" s="7" t="s">
        <v>29</v>
      </c>
      <c r="C28" s="10" t="s">
        <v>225</v>
      </c>
      <c r="D28" s="394">
        <v>135000</v>
      </c>
      <c r="E28" s="10" t="s">
        <v>0</v>
      </c>
      <c r="F28" s="160">
        <v>110000</v>
      </c>
      <c r="G28" s="160">
        <v>110000</v>
      </c>
      <c r="H28" s="394">
        <v>110000</v>
      </c>
    </row>
    <row r="29" spans="1:8">
      <c r="A29" s="69" t="s">
        <v>32</v>
      </c>
      <c r="B29" s="7" t="s">
        <v>33</v>
      </c>
      <c r="C29" s="10" t="s">
        <v>225</v>
      </c>
      <c r="D29" s="394">
        <v>25000</v>
      </c>
      <c r="E29" s="10" t="s">
        <v>0</v>
      </c>
      <c r="F29" s="160">
        <v>20000</v>
      </c>
      <c r="G29" s="160">
        <v>22500</v>
      </c>
      <c r="H29" s="394">
        <v>22500</v>
      </c>
    </row>
    <row r="30" spans="1:8">
      <c r="A30" s="69" t="s">
        <v>103</v>
      </c>
      <c r="B30" s="7" t="s">
        <v>104</v>
      </c>
      <c r="C30" s="10" t="s">
        <v>225</v>
      </c>
      <c r="D30" s="394">
        <v>10000</v>
      </c>
      <c r="E30" s="10" t="s">
        <v>0</v>
      </c>
      <c r="F30" s="160">
        <v>0</v>
      </c>
      <c r="G30" s="160">
        <v>0</v>
      </c>
      <c r="H30" s="394">
        <v>0</v>
      </c>
    </row>
    <row r="31" spans="1:8">
      <c r="A31" s="68" t="s">
        <v>34</v>
      </c>
      <c r="B31" s="6" t="s">
        <v>35</v>
      </c>
      <c r="C31" s="5" t="s">
        <v>225</v>
      </c>
      <c r="D31" s="393">
        <f>D32+D33+D35+D36+D37+D38+D39</f>
        <v>3648000</v>
      </c>
      <c r="E31" s="5" t="s">
        <v>0</v>
      </c>
      <c r="F31" s="159">
        <f>F32+F33++F34+F35+F36+F37+F38+F39</f>
        <v>3173000</v>
      </c>
      <c r="G31" s="159">
        <f t="shared" ref="G31:H31" si="5">G32+G33+G34+G35+G36+G37+G38+G39</f>
        <v>3383000</v>
      </c>
      <c r="H31" s="159">
        <f t="shared" si="5"/>
        <v>3373000</v>
      </c>
    </row>
    <row r="32" spans="1:8">
      <c r="A32" s="69" t="s">
        <v>36</v>
      </c>
      <c r="B32" s="7" t="s">
        <v>37</v>
      </c>
      <c r="C32" s="10" t="s">
        <v>225</v>
      </c>
      <c r="D32" s="394">
        <v>700000</v>
      </c>
      <c r="E32" s="10" t="s">
        <v>0</v>
      </c>
      <c r="F32" s="160">
        <v>450000</v>
      </c>
      <c r="G32" s="160">
        <v>500000</v>
      </c>
      <c r="H32" s="394">
        <v>500000</v>
      </c>
    </row>
    <row r="33" spans="1:10">
      <c r="A33" s="69" t="s">
        <v>38</v>
      </c>
      <c r="B33" s="7" t="s">
        <v>39</v>
      </c>
      <c r="C33" s="10" t="s">
        <v>225</v>
      </c>
      <c r="D33" s="394">
        <v>1500000</v>
      </c>
      <c r="E33" s="10" t="s">
        <v>0</v>
      </c>
      <c r="F33" s="160">
        <v>1300000</v>
      </c>
      <c r="G33" s="160">
        <v>1400000</v>
      </c>
      <c r="H33" s="394">
        <v>1400000</v>
      </c>
    </row>
    <row r="34" spans="1:10" s="44" customFormat="1">
      <c r="A34" s="110" t="s">
        <v>38</v>
      </c>
      <c r="B34" s="111" t="s">
        <v>39</v>
      </c>
      <c r="C34" s="112"/>
      <c r="D34" s="397"/>
      <c r="E34" s="112" t="s">
        <v>272</v>
      </c>
      <c r="F34" s="161">
        <v>73000</v>
      </c>
      <c r="G34" s="161">
        <v>73000</v>
      </c>
      <c r="H34" s="397">
        <v>73000</v>
      </c>
    </row>
    <row r="35" spans="1:10">
      <c r="A35" s="69" t="s">
        <v>40</v>
      </c>
      <c r="B35" s="7" t="s">
        <v>41</v>
      </c>
      <c r="C35" s="10" t="s">
        <v>225</v>
      </c>
      <c r="D35" s="394">
        <v>50000</v>
      </c>
      <c r="E35" s="10" t="s">
        <v>0</v>
      </c>
      <c r="F35" s="160">
        <v>30000</v>
      </c>
      <c r="G35" s="160">
        <v>40000</v>
      </c>
      <c r="H35" s="394">
        <v>40000</v>
      </c>
    </row>
    <row r="36" spans="1:10">
      <c r="A36" s="69" t="s">
        <v>42</v>
      </c>
      <c r="B36" s="7" t="s">
        <v>43</v>
      </c>
      <c r="C36" s="10" t="s">
        <v>225</v>
      </c>
      <c r="D36" s="394">
        <v>650000</v>
      </c>
      <c r="E36" s="10" t="s">
        <v>0</v>
      </c>
      <c r="F36" s="160">
        <v>700000</v>
      </c>
      <c r="G36" s="160">
        <v>750000</v>
      </c>
      <c r="H36" s="394">
        <v>750000</v>
      </c>
    </row>
    <row r="37" spans="1:10">
      <c r="A37" s="69" t="s">
        <v>46</v>
      </c>
      <c r="B37" s="7" t="s">
        <v>47</v>
      </c>
      <c r="C37" s="10" t="s">
        <v>225</v>
      </c>
      <c r="D37" s="394">
        <v>50000</v>
      </c>
      <c r="E37" s="10" t="s">
        <v>0</v>
      </c>
      <c r="F37" s="160">
        <v>40000</v>
      </c>
      <c r="G37" s="160">
        <v>40000</v>
      </c>
      <c r="H37" s="394">
        <v>40000</v>
      </c>
    </row>
    <row r="38" spans="1:10">
      <c r="A38" s="69" t="s">
        <v>48</v>
      </c>
      <c r="B38" s="7" t="s">
        <v>49</v>
      </c>
      <c r="C38" s="10" t="s">
        <v>225</v>
      </c>
      <c r="D38" s="394">
        <v>198000</v>
      </c>
      <c r="E38" s="10" t="s">
        <v>0</v>
      </c>
      <c r="F38" s="160">
        <v>180000</v>
      </c>
      <c r="G38" s="160">
        <v>180000</v>
      </c>
      <c r="H38" s="394">
        <v>170000</v>
      </c>
    </row>
    <row r="39" spans="1:10">
      <c r="A39" s="69" t="s">
        <v>52</v>
      </c>
      <c r="B39" s="7" t="s">
        <v>53</v>
      </c>
      <c r="C39" s="10" t="s">
        <v>225</v>
      </c>
      <c r="D39" s="394">
        <v>500000</v>
      </c>
      <c r="E39" s="10" t="s">
        <v>0</v>
      </c>
      <c r="F39" s="160">
        <v>400000</v>
      </c>
      <c r="G39" s="160">
        <v>400000</v>
      </c>
      <c r="H39" s="394">
        <v>400000</v>
      </c>
    </row>
    <row r="40" spans="1:10">
      <c r="A40" s="68" t="s">
        <v>54</v>
      </c>
      <c r="B40" s="6" t="s">
        <v>55</v>
      </c>
      <c r="C40" s="5" t="s">
        <v>225</v>
      </c>
      <c r="D40" s="393">
        <f>D41</f>
        <v>5000</v>
      </c>
      <c r="E40" s="5" t="s">
        <v>0</v>
      </c>
      <c r="F40" s="159">
        <f>F41</f>
        <v>2000</v>
      </c>
      <c r="G40" s="159">
        <f>G41</f>
        <v>2000</v>
      </c>
      <c r="H40" s="393">
        <f>H41</f>
        <v>2000</v>
      </c>
    </row>
    <row r="41" spans="1:10">
      <c r="A41" s="69" t="s">
        <v>56</v>
      </c>
      <c r="B41" s="7" t="s">
        <v>55</v>
      </c>
      <c r="C41" s="10" t="s">
        <v>225</v>
      </c>
      <c r="D41" s="394">
        <v>5000</v>
      </c>
      <c r="E41" s="10" t="s">
        <v>0</v>
      </c>
      <c r="F41" s="160">
        <v>2000</v>
      </c>
      <c r="G41" s="160">
        <v>2000</v>
      </c>
      <c r="H41" s="394">
        <v>2000</v>
      </c>
    </row>
    <row r="42" spans="1:10">
      <c r="A42" s="68" t="s">
        <v>57</v>
      </c>
      <c r="B42" s="6" t="s">
        <v>58</v>
      </c>
      <c r="C42" s="5" t="s">
        <v>225</v>
      </c>
      <c r="D42" s="393">
        <f>D43+D44+D45+D46+D47+D48</f>
        <v>1128988</v>
      </c>
      <c r="E42" s="5" t="s">
        <v>0</v>
      </c>
      <c r="F42" s="159">
        <f>F43+F44+F45+F46+F47+F48</f>
        <v>1127000</v>
      </c>
      <c r="G42" s="159">
        <f>G43+G44+G45+G46+G47+G48</f>
        <v>1132000</v>
      </c>
      <c r="H42" s="393">
        <f>H43+H44+H45+H46+H47+H48</f>
        <v>1132000</v>
      </c>
    </row>
    <row r="43" spans="1:10">
      <c r="A43" s="69" t="s">
        <v>61</v>
      </c>
      <c r="B43" s="7" t="s">
        <v>62</v>
      </c>
      <c r="C43" s="10" t="s">
        <v>225</v>
      </c>
      <c r="D43" s="394">
        <v>1081988</v>
      </c>
      <c r="E43" s="10" t="s">
        <v>0</v>
      </c>
      <c r="F43" s="160">
        <v>1100000</v>
      </c>
      <c r="G43" s="160">
        <v>1100000</v>
      </c>
      <c r="H43" s="394">
        <v>1100000</v>
      </c>
    </row>
    <row r="44" spans="1:10">
      <c r="A44" s="69" t="s">
        <v>63</v>
      </c>
      <c r="B44" s="7" t="s">
        <v>64</v>
      </c>
      <c r="C44" s="10" t="s">
        <v>225</v>
      </c>
      <c r="D44" s="394">
        <v>5000</v>
      </c>
      <c r="E44" s="10" t="s">
        <v>0</v>
      </c>
      <c r="F44" s="160">
        <v>5000</v>
      </c>
      <c r="G44" s="160">
        <v>5000</v>
      </c>
      <c r="H44" s="394">
        <v>5000</v>
      </c>
    </row>
    <row r="45" spans="1:10">
      <c r="A45" s="69" t="s">
        <v>65</v>
      </c>
      <c r="B45" s="7" t="s">
        <v>66</v>
      </c>
      <c r="C45" s="10" t="s">
        <v>225</v>
      </c>
      <c r="D45" s="394">
        <v>0</v>
      </c>
      <c r="E45" s="10" t="s">
        <v>0</v>
      </c>
      <c r="F45" s="160">
        <v>0</v>
      </c>
      <c r="G45" s="160">
        <v>0</v>
      </c>
      <c r="H45" s="394">
        <v>0</v>
      </c>
    </row>
    <row r="46" spans="1:10">
      <c r="A46" s="69" t="s">
        <v>67</v>
      </c>
      <c r="B46" s="7" t="s">
        <v>68</v>
      </c>
      <c r="C46" s="10" t="s">
        <v>225</v>
      </c>
      <c r="D46" s="394">
        <v>2000</v>
      </c>
      <c r="E46" s="10" t="s">
        <v>0</v>
      </c>
      <c r="F46" s="160">
        <v>2000</v>
      </c>
      <c r="G46" s="160">
        <v>2000</v>
      </c>
      <c r="H46" s="394">
        <v>2000</v>
      </c>
    </row>
    <row r="47" spans="1:10" s="44" customFormat="1">
      <c r="A47" s="69" t="s">
        <v>105</v>
      </c>
      <c r="B47" s="7" t="s">
        <v>106</v>
      </c>
      <c r="C47" s="10" t="s">
        <v>225</v>
      </c>
      <c r="D47" s="394">
        <v>20000</v>
      </c>
      <c r="E47" s="10" t="s">
        <v>0</v>
      </c>
      <c r="F47" s="160">
        <v>10000</v>
      </c>
      <c r="G47" s="160">
        <v>10000</v>
      </c>
      <c r="H47" s="394">
        <v>10000</v>
      </c>
      <c r="I47"/>
      <c r="J47"/>
    </row>
    <row r="48" spans="1:10">
      <c r="A48" s="69" t="s">
        <v>69</v>
      </c>
      <c r="B48" s="7" t="s">
        <v>58</v>
      </c>
      <c r="C48" s="10" t="s">
        <v>225</v>
      </c>
      <c r="D48" s="394">
        <v>20000</v>
      </c>
      <c r="E48" s="10" t="s">
        <v>0</v>
      </c>
      <c r="F48" s="160">
        <v>10000</v>
      </c>
      <c r="G48" s="160">
        <v>15000</v>
      </c>
      <c r="H48" s="394">
        <v>15000</v>
      </c>
    </row>
    <row r="49" spans="1:10">
      <c r="A49" s="68" t="s">
        <v>70</v>
      </c>
      <c r="B49" s="6" t="s">
        <v>71</v>
      </c>
      <c r="C49" s="5" t="s">
        <v>225</v>
      </c>
      <c r="D49" s="393">
        <f>D50+D51</f>
        <v>15000</v>
      </c>
      <c r="E49" s="5" t="s">
        <v>0</v>
      </c>
      <c r="F49" s="159">
        <f>F50+F51</f>
        <v>15000</v>
      </c>
      <c r="G49" s="159">
        <f>G50+G51</f>
        <v>15000</v>
      </c>
      <c r="H49" s="393">
        <f>H50+H51</f>
        <v>15000</v>
      </c>
    </row>
    <row r="50" spans="1:10">
      <c r="A50" s="69" t="s">
        <v>74</v>
      </c>
      <c r="B50" s="7" t="s">
        <v>75</v>
      </c>
      <c r="C50" s="10" t="s">
        <v>225</v>
      </c>
      <c r="D50" s="394">
        <v>5000</v>
      </c>
      <c r="E50" s="10" t="s">
        <v>0</v>
      </c>
      <c r="F50" s="160">
        <v>5000</v>
      </c>
      <c r="G50" s="160">
        <v>5000</v>
      </c>
      <c r="H50" s="394">
        <v>5000</v>
      </c>
    </row>
    <row r="51" spans="1:10">
      <c r="A51" s="69" t="s">
        <v>76</v>
      </c>
      <c r="B51" s="7" t="s">
        <v>77</v>
      </c>
      <c r="C51" s="10" t="s">
        <v>225</v>
      </c>
      <c r="D51" s="394">
        <v>10000</v>
      </c>
      <c r="E51" s="10" t="s">
        <v>0</v>
      </c>
      <c r="F51" s="160">
        <v>10000</v>
      </c>
      <c r="G51" s="160">
        <v>10000</v>
      </c>
      <c r="H51" s="394">
        <v>10000</v>
      </c>
    </row>
    <row r="52" spans="1:10">
      <c r="A52" s="68" t="s">
        <v>88</v>
      </c>
      <c r="B52" s="6" t="s">
        <v>89</v>
      </c>
      <c r="C52" s="5" t="s">
        <v>225</v>
      </c>
      <c r="D52" s="393">
        <f>D53+D54+D55</f>
        <v>70000</v>
      </c>
      <c r="E52" s="5" t="s">
        <v>0</v>
      </c>
      <c r="F52" s="159">
        <f>F53+F54+F55</f>
        <v>40000</v>
      </c>
      <c r="G52" s="159">
        <f>G53+G54+G55</f>
        <v>35000</v>
      </c>
      <c r="H52" s="393">
        <f>H53+H54+H55</f>
        <v>30000</v>
      </c>
    </row>
    <row r="53" spans="1:10">
      <c r="A53" s="69" t="s">
        <v>90</v>
      </c>
      <c r="B53" s="7" t="s">
        <v>91</v>
      </c>
      <c r="C53" s="10" t="s">
        <v>225</v>
      </c>
      <c r="D53" s="394">
        <v>30000</v>
      </c>
      <c r="E53" s="10" t="s">
        <v>0</v>
      </c>
      <c r="F53" s="160">
        <v>10000</v>
      </c>
      <c r="G53" s="160">
        <v>10000</v>
      </c>
      <c r="H53" s="394">
        <v>10000</v>
      </c>
    </row>
    <row r="54" spans="1:10">
      <c r="A54" s="69" t="s">
        <v>92</v>
      </c>
      <c r="B54" s="7" t="s">
        <v>93</v>
      </c>
      <c r="C54" s="10" t="s">
        <v>225</v>
      </c>
      <c r="D54" s="394">
        <v>15000</v>
      </c>
      <c r="E54" s="10" t="s">
        <v>0</v>
      </c>
      <c r="F54" s="160">
        <v>10000</v>
      </c>
      <c r="G54" s="160">
        <v>10000</v>
      </c>
      <c r="H54" s="394">
        <v>10000</v>
      </c>
    </row>
    <row r="55" spans="1:10">
      <c r="A55" s="69" t="s">
        <v>94</v>
      </c>
      <c r="B55" s="7" t="s">
        <v>95</v>
      </c>
      <c r="C55" s="10" t="s">
        <v>225</v>
      </c>
      <c r="D55" s="394">
        <v>25000</v>
      </c>
      <c r="E55" s="10" t="s">
        <v>0</v>
      </c>
      <c r="F55" s="160">
        <v>20000</v>
      </c>
      <c r="G55" s="160">
        <v>15000</v>
      </c>
      <c r="H55" s="394">
        <v>10000</v>
      </c>
    </row>
    <row r="56" spans="1:10">
      <c r="A56" s="69">
        <v>4225</v>
      </c>
      <c r="B56" s="7" t="s">
        <v>291</v>
      </c>
      <c r="C56" s="10" t="s">
        <v>225</v>
      </c>
      <c r="D56" s="394">
        <v>0</v>
      </c>
      <c r="E56" s="10" t="s">
        <v>0</v>
      </c>
      <c r="F56" s="160">
        <v>0</v>
      </c>
      <c r="G56" s="160">
        <v>0</v>
      </c>
      <c r="H56" s="394">
        <v>0</v>
      </c>
      <c r="I56" s="44"/>
      <c r="J56" s="44"/>
    </row>
    <row r="57" spans="1:10">
      <c r="A57" s="68" t="s">
        <v>140</v>
      </c>
      <c r="B57" s="6" t="s">
        <v>287</v>
      </c>
      <c r="C57" s="5" t="s">
        <v>225</v>
      </c>
      <c r="D57" s="393">
        <f>D58</f>
        <v>19825</v>
      </c>
      <c r="E57" s="5" t="s">
        <v>0</v>
      </c>
      <c r="F57" s="159">
        <f t="shared" ref="F57:G57" si="6">F58</f>
        <v>0</v>
      </c>
      <c r="G57" s="159">
        <f t="shared" si="6"/>
        <v>0</v>
      </c>
      <c r="H57" s="393">
        <f>H58</f>
        <v>0</v>
      </c>
    </row>
    <row r="58" spans="1:10">
      <c r="A58" s="69">
        <v>4262</v>
      </c>
      <c r="B58" s="7" t="s">
        <v>288</v>
      </c>
      <c r="C58" s="10" t="s">
        <v>225</v>
      </c>
      <c r="D58" s="394">
        <v>19825</v>
      </c>
      <c r="E58" s="10" t="s">
        <v>0</v>
      </c>
      <c r="F58" s="160">
        <v>0</v>
      </c>
      <c r="G58" s="160">
        <v>0</v>
      </c>
      <c r="H58" s="394">
        <v>0</v>
      </c>
    </row>
    <row r="59" spans="1:10">
      <c r="A59" s="67" t="s">
        <v>107</v>
      </c>
      <c r="B59" s="11" t="s">
        <v>108</v>
      </c>
      <c r="C59" s="13"/>
      <c r="D59" s="392">
        <f t="shared" ref="D59:H60" si="7">D60</f>
        <v>5678324</v>
      </c>
      <c r="E59" s="13" t="s">
        <v>0</v>
      </c>
      <c r="F59" s="158">
        <f t="shared" si="7"/>
        <v>6203251</v>
      </c>
      <c r="G59" s="158">
        <f t="shared" si="7"/>
        <v>6359892</v>
      </c>
      <c r="H59" s="392">
        <f t="shared" si="7"/>
        <v>6363761</v>
      </c>
    </row>
    <row r="60" spans="1:10">
      <c r="A60" s="68" t="s">
        <v>34</v>
      </c>
      <c r="B60" s="6" t="s">
        <v>35</v>
      </c>
      <c r="C60" s="5" t="s">
        <v>224</v>
      </c>
      <c r="D60" s="393">
        <f t="shared" si="7"/>
        <v>5678324</v>
      </c>
      <c r="E60" s="5" t="s">
        <v>0</v>
      </c>
      <c r="F60" s="159">
        <f t="shared" si="7"/>
        <v>6203251</v>
      </c>
      <c r="G60" s="159">
        <f t="shared" si="7"/>
        <v>6359892</v>
      </c>
      <c r="H60" s="393">
        <f t="shared" si="7"/>
        <v>6363761</v>
      </c>
    </row>
    <row r="61" spans="1:10">
      <c r="A61" s="69" t="s">
        <v>44</v>
      </c>
      <c r="B61" s="7" t="s">
        <v>45</v>
      </c>
      <c r="C61" s="10" t="s">
        <v>224</v>
      </c>
      <c r="D61" s="394">
        <v>5678324</v>
      </c>
      <c r="E61" s="10" t="s">
        <v>0</v>
      </c>
      <c r="F61" s="160">
        <v>6203251</v>
      </c>
      <c r="G61" s="160">
        <v>6359892</v>
      </c>
      <c r="H61" s="394">
        <v>6363761</v>
      </c>
    </row>
    <row r="62" spans="1:10">
      <c r="A62" s="67" t="s">
        <v>109</v>
      </c>
      <c r="B62" s="11" t="s">
        <v>87</v>
      </c>
      <c r="C62" s="13"/>
      <c r="D62" s="392">
        <f t="shared" ref="D62:H63" si="8">D63</f>
        <v>50000</v>
      </c>
      <c r="E62" s="13" t="s">
        <v>0</v>
      </c>
      <c r="F62" s="158">
        <f t="shared" si="8"/>
        <v>40000</v>
      </c>
      <c r="G62" s="158">
        <f t="shared" si="8"/>
        <v>35000</v>
      </c>
      <c r="H62" s="392">
        <f t="shared" si="8"/>
        <v>30000</v>
      </c>
    </row>
    <row r="63" spans="1:10">
      <c r="A63" s="68" t="s">
        <v>88</v>
      </c>
      <c r="B63" s="6" t="s">
        <v>89</v>
      </c>
      <c r="C63" s="5" t="s">
        <v>225</v>
      </c>
      <c r="D63" s="393">
        <f t="shared" si="8"/>
        <v>50000</v>
      </c>
      <c r="E63" s="5" t="s">
        <v>0</v>
      </c>
      <c r="F63" s="159">
        <f t="shared" si="8"/>
        <v>40000</v>
      </c>
      <c r="G63" s="159">
        <f t="shared" si="8"/>
        <v>35000</v>
      </c>
      <c r="H63" s="393">
        <f t="shared" si="8"/>
        <v>30000</v>
      </c>
    </row>
    <row r="64" spans="1:10">
      <c r="A64" s="69" t="s">
        <v>90</v>
      </c>
      <c r="B64" s="7" t="s">
        <v>91</v>
      </c>
      <c r="C64" s="10" t="s">
        <v>225</v>
      </c>
      <c r="D64" s="394">
        <v>50000</v>
      </c>
      <c r="E64" s="10" t="s">
        <v>0</v>
      </c>
      <c r="F64" s="160">
        <v>40000</v>
      </c>
      <c r="G64" s="160">
        <v>35000</v>
      </c>
      <c r="H64" s="394">
        <v>30000</v>
      </c>
    </row>
    <row r="65" spans="1:8">
      <c r="A65" s="67" t="s">
        <v>110</v>
      </c>
      <c r="B65" s="11" t="s">
        <v>111</v>
      </c>
      <c r="C65" s="13"/>
      <c r="D65" s="392">
        <f t="shared" ref="D65:H66" si="9">D66</f>
        <v>53700000</v>
      </c>
      <c r="E65" s="13" t="s">
        <v>0</v>
      </c>
      <c r="F65" s="158">
        <f t="shared" si="9"/>
        <v>22390000</v>
      </c>
      <c r="G65" s="158">
        <f t="shared" si="9"/>
        <v>21900000</v>
      </c>
      <c r="H65" s="392">
        <f t="shared" si="9"/>
        <v>21900000</v>
      </c>
    </row>
    <row r="66" spans="1:8">
      <c r="A66" s="68" t="s">
        <v>112</v>
      </c>
      <c r="B66" s="6" t="s">
        <v>113</v>
      </c>
      <c r="C66" s="5" t="s">
        <v>226</v>
      </c>
      <c r="D66" s="393">
        <f t="shared" si="9"/>
        <v>53700000</v>
      </c>
      <c r="E66" s="5" t="s">
        <v>0</v>
      </c>
      <c r="F66" s="159">
        <f t="shared" si="9"/>
        <v>22390000</v>
      </c>
      <c r="G66" s="159">
        <f t="shared" si="9"/>
        <v>21900000</v>
      </c>
      <c r="H66" s="393">
        <f t="shared" si="9"/>
        <v>21900000</v>
      </c>
    </row>
    <row r="67" spans="1:8">
      <c r="A67" s="69" t="s">
        <v>114</v>
      </c>
      <c r="B67" s="7" t="s">
        <v>113</v>
      </c>
      <c r="C67" s="10" t="s">
        <v>226</v>
      </c>
      <c r="D67" s="394">
        <v>53700000</v>
      </c>
      <c r="E67" s="10" t="s">
        <v>0</v>
      </c>
      <c r="F67" s="160">
        <v>22390000</v>
      </c>
      <c r="G67" s="160">
        <v>21900000</v>
      </c>
      <c r="H67" s="394">
        <v>21900000</v>
      </c>
    </row>
    <row r="68" spans="1:8">
      <c r="A68" s="67" t="s">
        <v>115</v>
      </c>
      <c r="B68" s="11" t="s">
        <v>116</v>
      </c>
      <c r="C68" s="13"/>
      <c r="D68" s="392">
        <f>D69+D74</f>
        <v>200000</v>
      </c>
      <c r="E68" s="13" t="s">
        <v>0</v>
      </c>
      <c r="F68" s="158">
        <f>F69+F74</f>
        <v>0</v>
      </c>
      <c r="G68" s="158">
        <f>G69+G74</f>
        <v>0</v>
      </c>
      <c r="H68" s="392">
        <f>H69+H74</f>
        <v>0</v>
      </c>
    </row>
    <row r="69" spans="1:8">
      <c r="A69" s="68" t="s">
        <v>34</v>
      </c>
      <c r="B69" s="6" t="s">
        <v>35</v>
      </c>
      <c r="C69" s="5" t="s">
        <v>226</v>
      </c>
      <c r="D69" s="393">
        <f>D70+D71+D72+D73</f>
        <v>200000</v>
      </c>
      <c r="E69" s="5" t="s">
        <v>0</v>
      </c>
      <c r="F69" s="159">
        <f>F70+F71+F72+F73</f>
        <v>0</v>
      </c>
      <c r="G69" s="159">
        <f>G70+G71+G72+G73</f>
        <v>0</v>
      </c>
      <c r="H69" s="393">
        <f>H70+H71+H72+H73</f>
        <v>0</v>
      </c>
    </row>
    <row r="70" spans="1:8">
      <c r="A70" s="69" t="s">
        <v>36</v>
      </c>
      <c r="B70" s="7" t="s">
        <v>37</v>
      </c>
      <c r="C70" s="10" t="s">
        <v>226</v>
      </c>
      <c r="D70" s="394">
        <v>100000</v>
      </c>
      <c r="E70" s="10" t="s">
        <v>0</v>
      </c>
      <c r="F70" s="160">
        <v>0</v>
      </c>
      <c r="G70" s="160">
        <v>0</v>
      </c>
      <c r="H70" s="394">
        <v>0</v>
      </c>
    </row>
    <row r="71" spans="1:8">
      <c r="A71" s="69" t="s">
        <v>38</v>
      </c>
      <c r="B71" s="7" t="s">
        <v>39</v>
      </c>
      <c r="C71" s="10" t="s">
        <v>226</v>
      </c>
      <c r="D71" s="394">
        <v>100000</v>
      </c>
      <c r="E71" s="10" t="s">
        <v>0</v>
      </c>
      <c r="F71" s="160">
        <v>0</v>
      </c>
      <c r="G71" s="160">
        <v>0</v>
      </c>
      <c r="H71" s="394">
        <v>0</v>
      </c>
    </row>
    <row r="72" spans="1:8">
      <c r="A72" s="69" t="s">
        <v>46</v>
      </c>
      <c r="B72" s="7" t="s">
        <v>47</v>
      </c>
      <c r="C72" s="10" t="s">
        <v>226</v>
      </c>
      <c r="D72" s="394">
        <v>0</v>
      </c>
      <c r="E72" s="10" t="s">
        <v>0</v>
      </c>
      <c r="F72" s="160">
        <v>0</v>
      </c>
      <c r="G72" s="160">
        <v>0</v>
      </c>
      <c r="H72" s="394">
        <v>0</v>
      </c>
    </row>
    <row r="73" spans="1:8">
      <c r="A73" s="69" t="s">
        <v>52</v>
      </c>
      <c r="B73" s="7" t="s">
        <v>53</v>
      </c>
      <c r="C73" s="10" t="s">
        <v>226</v>
      </c>
      <c r="D73" s="394">
        <v>0</v>
      </c>
      <c r="E73" s="10" t="s">
        <v>0</v>
      </c>
      <c r="F73" s="160">
        <v>0</v>
      </c>
      <c r="G73" s="160">
        <v>0</v>
      </c>
      <c r="H73" s="394">
        <v>0</v>
      </c>
    </row>
    <row r="74" spans="1:8">
      <c r="A74" s="68" t="s">
        <v>112</v>
      </c>
      <c r="B74" s="6" t="s">
        <v>113</v>
      </c>
      <c r="C74" s="5" t="s">
        <v>226</v>
      </c>
      <c r="D74" s="393">
        <f>D75</f>
        <v>0</v>
      </c>
      <c r="E74" s="5" t="s">
        <v>0</v>
      </c>
      <c r="F74" s="159">
        <f>F75</f>
        <v>0</v>
      </c>
      <c r="G74" s="159">
        <f>G75</f>
        <v>0</v>
      </c>
      <c r="H74" s="393">
        <f>H75</f>
        <v>0</v>
      </c>
    </row>
    <row r="75" spans="1:8">
      <c r="A75" s="70" t="s">
        <v>114</v>
      </c>
      <c r="B75" s="16" t="s">
        <v>113</v>
      </c>
      <c r="C75" s="17" t="s">
        <v>226</v>
      </c>
      <c r="D75" s="395">
        <v>0</v>
      </c>
      <c r="E75" s="17" t="s">
        <v>0</v>
      </c>
      <c r="F75" s="396">
        <v>0</v>
      </c>
      <c r="G75" s="396">
        <v>0</v>
      </c>
      <c r="H75" s="395">
        <v>0</v>
      </c>
    </row>
    <row r="76" spans="1:8">
      <c r="A76" s="67" t="s">
        <v>289</v>
      </c>
      <c r="B76" s="11" t="s">
        <v>290</v>
      </c>
      <c r="C76" s="13"/>
      <c r="D76" s="392">
        <f>D77+D79</f>
        <v>4760000</v>
      </c>
      <c r="E76" s="13" t="s">
        <v>0</v>
      </c>
      <c r="F76" s="158">
        <f>F77+F79</f>
        <v>200000</v>
      </c>
      <c r="G76" s="158">
        <f>G77+G79</f>
        <v>0</v>
      </c>
      <c r="H76" s="392">
        <f>H77+H79</f>
        <v>0</v>
      </c>
    </row>
    <row r="77" spans="1:8">
      <c r="A77" s="68" t="s">
        <v>34</v>
      </c>
      <c r="B77" s="6" t="s">
        <v>35</v>
      </c>
      <c r="C77" s="5" t="s">
        <v>226</v>
      </c>
      <c r="D77" s="393">
        <f>D78</f>
        <v>60000</v>
      </c>
      <c r="E77" s="5" t="s">
        <v>0</v>
      </c>
      <c r="F77" s="159">
        <f t="shared" ref="F77:G77" si="10">F78</f>
        <v>100000</v>
      </c>
      <c r="G77" s="159">
        <f t="shared" si="10"/>
        <v>0</v>
      </c>
      <c r="H77" s="393">
        <f>H78</f>
        <v>0</v>
      </c>
    </row>
    <row r="78" spans="1:8">
      <c r="A78" s="69" t="s">
        <v>36</v>
      </c>
      <c r="B78" s="7" t="s">
        <v>37</v>
      </c>
      <c r="C78" s="10" t="s">
        <v>226</v>
      </c>
      <c r="D78" s="394">
        <v>60000</v>
      </c>
      <c r="E78" s="10" t="s">
        <v>0</v>
      </c>
      <c r="F78" s="160">
        <v>100000</v>
      </c>
      <c r="G78" s="160">
        <v>0</v>
      </c>
      <c r="H78" s="394">
        <v>0</v>
      </c>
    </row>
    <row r="79" spans="1:8">
      <c r="A79" s="68" t="s">
        <v>112</v>
      </c>
      <c r="B79" s="6" t="s">
        <v>113</v>
      </c>
      <c r="C79" s="5" t="s">
        <v>226</v>
      </c>
      <c r="D79" s="393">
        <f>D80</f>
        <v>4700000</v>
      </c>
      <c r="E79" s="5" t="s">
        <v>0</v>
      </c>
      <c r="F79" s="159">
        <f>F80</f>
        <v>100000</v>
      </c>
      <c r="G79" s="159">
        <f>G80</f>
        <v>0</v>
      </c>
      <c r="H79" s="393">
        <f>H80</f>
        <v>0</v>
      </c>
    </row>
    <row r="80" spans="1:8">
      <c r="A80" s="70" t="s">
        <v>114</v>
      </c>
      <c r="B80" s="16" t="s">
        <v>113</v>
      </c>
      <c r="C80" s="17" t="s">
        <v>226</v>
      </c>
      <c r="D80" s="395">
        <v>4700000</v>
      </c>
      <c r="E80" s="17" t="s">
        <v>0</v>
      </c>
      <c r="F80" s="396">
        <v>100000</v>
      </c>
      <c r="G80" s="396">
        <v>0</v>
      </c>
      <c r="H80" s="395">
        <v>0</v>
      </c>
    </row>
    <row r="81" spans="1:8">
      <c r="A81" s="67" t="s">
        <v>101</v>
      </c>
      <c r="B81" s="11" t="s">
        <v>102</v>
      </c>
      <c r="C81" s="13"/>
      <c r="D81" s="29">
        <f>D82+D85+D89+D97+D100</f>
        <v>652000</v>
      </c>
      <c r="E81" s="13" t="s">
        <v>216</v>
      </c>
      <c r="F81" s="158">
        <f t="shared" ref="F81:G81" si="11">F82+F85+F89+F97+F100+F103</f>
        <v>579000</v>
      </c>
      <c r="G81" s="158">
        <f t="shared" si="11"/>
        <v>579000</v>
      </c>
      <c r="H81" s="29">
        <f>H82+H85+H89+H97+H100+H103</f>
        <v>579000</v>
      </c>
    </row>
    <row r="82" spans="1:8" s="125" customFormat="1">
      <c r="A82" s="68" t="s">
        <v>16</v>
      </c>
      <c r="B82" s="6" t="s">
        <v>17</v>
      </c>
      <c r="C82" s="5" t="s">
        <v>225</v>
      </c>
      <c r="D82" s="126">
        <f>D83+D84</f>
        <v>10000</v>
      </c>
      <c r="E82" s="5" t="s">
        <v>216</v>
      </c>
      <c r="F82" s="159">
        <f>F83+F84</f>
        <v>10000</v>
      </c>
      <c r="G82" s="159">
        <f>G83+G84</f>
        <v>10000</v>
      </c>
      <c r="H82" s="126">
        <f>H83+H84</f>
        <v>10000</v>
      </c>
    </row>
    <row r="83" spans="1:8">
      <c r="A83" s="110" t="s">
        <v>18</v>
      </c>
      <c r="B83" s="111" t="s">
        <v>19</v>
      </c>
      <c r="C83" s="118" t="s">
        <v>225</v>
      </c>
      <c r="D83" s="397">
        <v>5000</v>
      </c>
      <c r="E83" s="118" t="s">
        <v>216</v>
      </c>
      <c r="F83" s="398">
        <v>5000</v>
      </c>
      <c r="G83" s="398">
        <v>5000</v>
      </c>
      <c r="H83" s="397">
        <v>5000</v>
      </c>
    </row>
    <row r="84" spans="1:8">
      <c r="A84" s="110" t="s">
        <v>22</v>
      </c>
      <c r="B84" s="111" t="s">
        <v>23</v>
      </c>
      <c r="C84" s="118" t="s">
        <v>225</v>
      </c>
      <c r="D84" s="397">
        <v>5000</v>
      </c>
      <c r="E84" s="118" t="s">
        <v>216</v>
      </c>
      <c r="F84" s="398">
        <v>5000</v>
      </c>
      <c r="G84" s="398">
        <v>5000</v>
      </c>
      <c r="H84" s="397">
        <v>5000</v>
      </c>
    </row>
    <row r="85" spans="1:8" s="125" customFormat="1">
      <c r="A85" s="68" t="s">
        <v>24</v>
      </c>
      <c r="B85" s="6" t="s">
        <v>25</v>
      </c>
      <c r="C85" s="5" t="s">
        <v>225</v>
      </c>
      <c r="D85" s="126">
        <f>D86+D87+D88</f>
        <v>47000</v>
      </c>
      <c r="E85" s="5" t="s">
        <v>216</v>
      </c>
      <c r="F85" s="159">
        <f>F86+F87+F88</f>
        <v>47000</v>
      </c>
      <c r="G85" s="159">
        <f>G86+G87+G88</f>
        <v>47000</v>
      </c>
      <c r="H85" s="126">
        <f>H86+H87+H88</f>
        <v>47000</v>
      </c>
    </row>
    <row r="86" spans="1:8">
      <c r="A86" s="110" t="s">
        <v>26</v>
      </c>
      <c r="B86" s="111" t="s">
        <v>27</v>
      </c>
      <c r="C86" s="118" t="s">
        <v>225</v>
      </c>
      <c r="D86" s="397">
        <v>12000</v>
      </c>
      <c r="E86" s="118" t="s">
        <v>216</v>
      </c>
      <c r="F86" s="398">
        <v>12000</v>
      </c>
      <c r="G86" s="398">
        <v>12000</v>
      </c>
      <c r="H86" s="397">
        <v>12000</v>
      </c>
    </row>
    <row r="87" spans="1:8">
      <c r="A87" s="110" t="s">
        <v>28</v>
      </c>
      <c r="B87" s="111" t="s">
        <v>29</v>
      </c>
      <c r="C87" s="118" t="s">
        <v>225</v>
      </c>
      <c r="D87" s="397">
        <v>25000</v>
      </c>
      <c r="E87" s="118" t="s">
        <v>216</v>
      </c>
      <c r="F87" s="398">
        <v>25000</v>
      </c>
      <c r="G87" s="398">
        <v>25000</v>
      </c>
      <c r="H87" s="397">
        <v>25000</v>
      </c>
    </row>
    <row r="88" spans="1:8">
      <c r="A88" s="110" t="s">
        <v>32</v>
      </c>
      <c r="B88" s="111" t="s">
        <v>33</v>
      </c>
      <c r="C88" s="118" t="s">
        <v>225</v>
      </c>
      <c r="D88" s="397">
        <v>10000</v>
      </c>
      <c r="E88" s="118" t="s">
        <v>216</v>
      </c>
      <c r="F88" s="398">
        <v>10000</v>
      </c>
      <c r="G88" s="398">
        <v>10000</v>
      </c>
      <c r="H88" s="397">
        <v>10000</v>
      </c>
    </row>
    <row r="89" spans="1:8" s="125" customFormat="1">
      <c r="A89" s="68" t="s">
        <v>34</v>
      </c>
      <c r="B89" s="6" t="s">
        <v>35</v>
      </c>
      <c r="C89" s="5" t="s">
        <v>225</v>
      </c>
      <c r="D89" s="126">
        <f>D90+D91+D92+D93+D94+D95+D96</f>
        <v>545000</v>
      </c>
      <c r="E89" s="5" t="s">
        <v>216</v>
      </c>
      <c r="F89" s="159">
        <f>F90+F91+F92+F93+F94+F95+F96</f>
        <v>472000</v>
      </c>
      <c r="G89" s="159">
        <f>G90+G91+G92+G93+G94+G95+G96</f>
        <v>472000</v>
      </c>
      <c r="H89" s="126">
        <f>H90+H91+H92+H93+H94+H95+H96</f>
        <v>472000</v>
      </c>
    </row>
    <row r="90" spans="1:8">
      <c r="A90" s="110" t="s">
        <v>36</v>
      </c>
      <c r="B90" s="111" t="s">
        <v>37</v>
      </c>
      <c r="C90" s="118" t="s">
        <v>225</v>
      </c>
      <c r="D90" s="397">
        <v>100000</v>
      </c>
      <c r="E90" s="118" t="s">
        <v>216</v>
      </c>
      <c r="F90" s="398">
        <v>100000</v>
      </c>
      <c r="G90" s="398">
        <v>100000</v>
      </c>
      <c r="H90" s="397">
        <v>100000</v>
      </c>
    </row>
    <row r="91" spans="1:8">
      <c r="A91" s="110" t="s">
        <v>38</v>
      </c>
      <c r="B91" s="111" t="s">
        <v>39</v>
      </c>
      <c r="C91" s="118" t="s">
        <v>225</v>
      </c>
      <c r="D91" s="397">
        <v>300000</v>
      </c>
      <c r="E91" s="118" t="s">
        <v>216</v>
      </c>
      <c r="F91" s="398">
        <v>227000</v>
      </c>
      <c r="G91" s="398">
        <v>227000</v>
      </c>
      <c r="H91" s="397">
        <v>227000</v>
      </c>
    </row>
    <row r="92" spans="1:8">
      <c r="A92" s="110" t="s">
        <v>40</v>
      </c>
      <c r="B92" s="119" t="s">
        <v>41</v>
      </c>
      <c r="C92" s="118" t="s">
        <v>225</v>
      </c>
      <c r="D92" s="397">
        <v>15000</v>
      </c>
      <c r="E92" s="118" t="s">
        <v>216</v>
      </c>
      <c r="F92" s="398">
        <v>15000</v>
      </c>
      <c r="G92" s="398">
        <v>15000</v>
      </c>
      <c r="H92" s="397">
        <v>15000</v>
      </c>
    </row>
    <row r="93" spans="1:8">
      <c r="A93" s="110" t="s">
        <v>42</v>
      </c>
      <c r="B93" s="119" t="s">
        <v>43</v>
      </c>
      <c r="C93" s="118" t="s">
        <v>225</v>
      </c>
      <c r="D93" s="397">
        <v>50000</v>
      </c>
      <c r="E93" s="118" t="s">
        <v>216</v>
      </c>
      <c r="F93" s="398">
        <v>50000</v>
      </c>
      <c r="G93" s="398">
        <v>50000</v>
      </c>
      <c r="H93" s="397">
        <v>50000</v>
      </c>
    </row>
    <row r="94" spans="1:8">
      <c r="A94" s="110" t="s">
        <v>46</v>
      </c>
      <c r="B94" s="119" t="s">
        <v>47</v>
      </c>
      <c r="C94" s="118" t="s">
        <v>225</v>
      </c>
      <c r="D94" s="397">
        <v>30000</v>
      </c>
      <c r="E94" s="118" t="s">
        <v>216</v>
      </c>
      <c r="F94" s="398">
        <v>30000</v>
      </c>
      <c r="G94" s="398">
        <v>30000</v>
      </c>
      <c r="H94" s="397">
        <v>30000</v>
      </c>
    </row>
    <row r="95" spans="1:8">
      <c r="A95" s="110" t="s">
        <v>48</v>
      </c>
      <c r="B95" s="119" t="s">
        <v>49</v>
      </c>
      <c r="C95" s="118" t="s">
        <v>225</v>
      </c>
      <c r="D95" s="399">
        <v>30000</v>
      </c>
      <c r="E95" s="118" t="s">
        <v>216</v>
      </c>
      <c r="F95" s="398">
        <v>30000</v>
      </c>
      <c r="G95" s="398">
        <v>30000</v>
      </c>
      <c r="H95" s="399">
        <v>30000</v>
      </c>
    </row>
    <row r="96" spans="1:8">
      <c r="A96" s="120" t="s">
        <v>52</v>
      </c>
      <c r="B96" s="121" t="s">
        <v>53</v>
      </c>
      <c r="C96" s="122" t="s">
        <v>225</v>
      </c>
      <c r="D96" s="400">
        <v>20000</v>
      </c>
      <c r="E96" s="122" t="s">
        <v>216</v>
      </c>
      <c r="F96" s="401">
        <v>20000</v>
      </c>
      <c r="G96" s="401">
        <v>20000</v>
      </c>
      <c r="H96" s="400">
        <v>20000</v>
      </c>
    </row>
    <row r="97" spans="1:8" s="125" customFormat="1">
      <c r="A97" s="68" t="s">
        <v>57</v>
      </c>
      <c r="B97" s="6" t="s">
        <v>58</v>
      </c>
      <c r="C97" s="5" t="s">
        <v>225</v>
      </c>
      <c r="D97" s="126">
        <f>D98+D99</f>
        <v>10000</v>
      </c>
      <c r="E97" s="5" t="s">
        <v>216</v>
      </c>
      <c r="F97" s="159">
        <f>F98+F99</f>
        <v>10000</v>
      </c>
      <c r="G97" s="159">
        <f>G98+G99</f>
        <v>10000</v>
      </c>
      <c r="H97" s="126">
        <f>H98+H99</f>
        <v>10000</v>
      </c>
    </row>
    <row r="98" spans="1:8">
      <c r="A98" s="110" t="s">
        <v>67</v>
      </c>
      <c r="B98" s="111" t="s">
        <v>68</v>
      </c>
      <c r="C98" s="122" t="s">
        <v>225</v>
      </c>
      <c r="D98" s="400">
        <v>5000</v>
      </c>
      <c r="E98" s="122" t="s">
        <v>216</v>
      </c>
      <c r="F98" s="401">
        <v>5000</v>
      </c>
      <c r="G98" s="401">
        <v>5000</v>
      </c>
      <c r="H98" s="400">
        <v>5000</v>
      </c>
    </row>
    <row r="99" spans="1:8">
      <c r="A99" s="110" t="s">
        <v>69</v>
      </c>
      <c r="B99" s="111" t="s">
        <v>58</v>
      </c>
      <c r="C99" s="122" t="s">
        <v>225</v>
      </c>
      <c r="D99" s="400">
        <v>5000</v>
      </c>
      <c r="E99" s="122" t="s">
        <v>216</v>
      </c>
      <c r="F99" s="401">
        <v>5000</v>
      </c>
      <c r="G99" s="401">
        <v>5000</v>
      </c>
      <c r="H99" s="400">
        <v>5000</v>
      </c>
    </row>
    <row r="100" spans="1:8" s="125" customFormat="1">
      <c r="A100" s="68" t="s">
        <v>70</v>
      </c>
      <c r="B100" s="6" t="s">
        <v>71</v>
      </c>
      <c r="C100" s="5" t="s">
        <v>225</v>
      </c>
      <c r="D100" s="402">
        <f>D101+D102</f>
        <v>40000</v>
      </c>
      <c r="E100" s="5" t="s">
        <v>216</v>
      </c>
      <c r="F100" s="159">
        <f t="shared" ref="F100:H100" si="12">F101+F102</f>
        <v>40000</v>
      </c>
      <c r="G100" s="159">
        <f t="shared" si="12"/>
        <v>40000</v>
      </c>
      <c r="H100" s="402">
        <f t="shared" si="12"/>
        <v>40000</v>
      </c>
    </row>
    <row r="101" spans="1:8">
      <c r="A101" s="110" t="s">
        <v>74</v>
      </c>
      <c r="B101" s="111" t="s">
        <v>75</v>
      </c>
      <c r="C101" s="112" t="s">
        <v>225</v>
      </c>
      <c r="D101" s="397">
        <v>20000</v>
      </c>
      <c r="E101" s="112" t="s">
        <v>216</v>
      </c>
      <c r="F101" s="161">
        <v>20000</v>
      </c>
      <c r="G101" s="161">
        <v>20000</v>
      </c>
      <c r="H101" s="397">
        <v>20000</v>
      </c>
    </row>
    <row r="102" spans="1:8" s="44" customFormat="1">
      <c r="A102" s="110" t="s">
        <v>76</v>
      </c>
      <c r="B102" s="111" t="s">
        <v>77</v>
      </c>
      <c r="C102" s="112" t="s">
        <v>225</v>
      </c>
      <c r="D102" s="397">
        <v>20000</v>
      </c>
      <c r="E102" s="112" t="s">
        <v>216</v>
      </c>
      <c r="F102" s="161">
        <v>20000</v>
      </c>
      <c r="G102" s="161">
        <v>20000</v>
      </c>
      <c r="H102" s="397">
        <v>20000</v>
      </c>
    </row>
    <row r="103" spans="1:8" s="44" customFormat="1">
      <c r="A103" s="139">
        <v>-422</v>
      </c>
      <c r="B103" s="6" t="s">
        <v>89</v>
      </c>
      <c r="C103" s="140" t="s">
        <v>225</v>
      </c>
      <c r="D103" s="394">
        <f>SUM(D104)</f>
        <v>0</v>
      </c>
      <c r="E103" s="141">
        <v>43</v>
      </c>
      <c r="F103" s="403">
        <f t="shared" ref="F103:H103" si="13">SUM(F104)</f>
        <v>0</v>
      </c>
      <c r="G103" s="403">
        <f t="shared" si="13"/>
        <v>0</v>
      </c>
      <c r="H103" s="404">
        <f t="shared" si="13"/>
        <v>0</v>
      </c>
    </row>
    <row r="104" spans="1:8" s="44" customFormat="1">
      <c r="A104" s="144">
        <v>4227</v>
      </c>
      <c r="B104" s="142" t="s">
        <v>172</v>
      </c>
      <c r="C104" s="143" t="s">
        <v>225</v>
      </c>
      <c r="D104" s="405">
        <v>0</v>
      </c>
      <c r="E104" s="143" t="s">
        <v>216</v>
      </c>
      <c r="F104" s="406">
        <v>0</v>
      </c>
      <c r="G104" s="406">
        <v>0</v>
      </c>
      <c r="H104" s="405">
        <v>0</v>
      </c>
    </row>
    <row r="105" spans="1:8">
      <c r="A105" s="67" t="s">
        <v>107</v>
      </c>
      <c r="B105" s="11" t="s">
        <v>108</v>
      </c>
      <c r="C105" s="13"/>
      <c r="D105" s="392">
        <f t="shared" ref="D105:H106" si="14">D106</f>
        <v>210000</v>
      </c>
      <c r="E105" s="13" t="s">
        <v>216</v>
      </c>
      <c r="F105" s="158">
        <f t="shared" si="14"/>
        <v>210000</v>
      </c>
      <c r="G105" s="158">
        <f t="shared" si="14"/>
        <v>210000</v>
      </c>
      <c r="H105" s="392">
        <f t="shared" si="14"/>
        <v>210000</v>
      </c>
    </row>
    <row r="106" spans="1:8" s="125" customFormat="1">
      <c r="A106" s="68" t="s">
        <v>34</v>
      </c>
      <c r="B106" s="6" t="s">
        <v>35</v>
      </c>
      <c r="C106" s="5" t="s">
        <v>224</v>
      </c>
      <c r="D106" s="393">
        <f t="shared" si="14"/>
        <v>210000</v>
      </c>
      <c r="E106" s="5" t="s">
        <v>216</v>
      </c>
      <c r="F106" s="159">
        <f t="shared" si="14"/>
        <v>210000</v>
      </c>
      <c r="G106" s="159">
        <f t="shared" si="14"/>
        <v>210000</v>
      </c>
      <c r="H106" s="393">
        <f t="shared" si="14"/>
        <v>210000</v>
      </c>
    </row>
    <row r="107" spans="1:8">
      <c r="A107" s="110" t="s">
        <v>44</v>
      </c>
      <c r="B107" s="111" t="s">
        <v>45</v>
      </c>
      <c r="C107" s="112" t="s">
        <v>224</v>
      </c>
      <c r="D107" s="397">
        <v>210000</v>
      </c>
      <c r="E107" s="112" t="s">
        <v>216</v>
      </c>
      <c r="F107" s="161">
        <v>210000</v>
      </c>
      <c r="G107" s="161">
        <v>210000</v>
      </c>
      <c r="H107" s="397">
        <v>210000</v>
      </c>
    </row>
    <row r="108" spans="1:8">
      <c r="A108" s="67" t="s">
        <v>110</v>
      </c>
      <c r="B108" s="11" t="s">
        <v>111</v>
      </c>
      <c r="C108" s="13"/>
      <c r="D108" s="392">
        <f t="shared" ref="D108:H109" si="15">D109</f>
        <v>713000</v>
      </c>
      <c r="E108" s="13" t="s">
        <v>216</v>
      </c>
      <c r="F108" s="158">
        <f t="shared" si="15"/>
        <v>763000</v>
      </c>
      <c r="G108" s="158">
        <f t="shared" si="15"/>
        <v>763000</v>
      </c>
      <c r="H108" s="392">
        <f t="shared" si="15"/>
        <v>763000</v>
      </c>
    </row>
    <row r="109" spans="1:8">
      <c r="A109" s="68" t="s">
        <v>112</v>
      </c>
      <c r="B109" s="6" t="s">
        <v>113</v>
      </c>
      <c r="C109" s="5" t="s">
        <v>226</v>
      </c>
      <c r="D109" s="393">
        <f t="shared" si="15"/>
        <v>713000</v>
      </c>
      <c r="E109" s="5" t="s">
        <v>216</v>
      </c>
      <c r="F109" s="159">
        <f t="shared" si="15"/>
        <v>763000</v>
      </c>
      <c r="G109" s="159">
        <f t="shared" si="15"/>
        <v>763000</v>
      </c>
      <c r="H109" s="393">
        <f t="shared" si="15"/>
        <v>763000</v>
      </c>
    </row>
    <row r="110" spans="1:8">
      <c r="A110" s="110" t="s">
        <v>114</v>
      </c>
      <c r="B110" s="111" t="s">
        <v>113</v>
      </c>
      <c r="C110" s="112" t="s">
        <v>226</v>
      </c>
      <c r="D110" s="397">
        <v>713000</v>
      </c>
      <c r="E110" s="112" t="s">
        <v>216</v>
      </c>
      <c r="F110" s="161">
        <v>763000</v>
      </c>
      <c r="G110" s="161">
        <v>763000</v>
      </c>
      <c r="H110" s="397">
        <v>763000</v>
      </c>
    </row>
    <row r="111" spans="1:8">
      <c r="A111" s="67" t="s">
        <v>217</v>
      </c>
      <c r="B111" s="30" t="s">
        <v>218</v>
      </c>
      <c r="C111" s="13"/>
      <c r="D111" s="392">
        <f>D112+D114</f>
        <v>425000</v>
      </c>
      <c r="E111" s="13" t="s">
        <v>216</v>
      </c>
      <c r="F111" s="158">
        <f t="shared" ref="F111:G111" si="16">F112+F114</f>
        <v>475000</v>
      </c>
      <c r="G111" s="158">
        <f t="shared" si="16"/>
        <v>475000</v>
      </c>
      <c r="H111" s="392">
        <f>H112+H114</f>
        <v>475000</v>
      </c>
    </row>
    <row r="112" spans="1:8">
      <c r="A112" s="68" t="s">
        <v>176</v>
      </c>
      <c r="B112" s="18" t="s">
        <v>177</v>
      </c>
      <c r="C112" s="5" t="s">
        <v>224</v>
      </c>
      <c r="D112" s="393">
        <f t="shared" ref="D112:H112" si="17">D113</f>
        <v>125000</v>
      </c>
      <c r="E112" s="5" t="s">
        <v>216</v>
      </c>
      <c r="F112" s="159">
        <f t="shared" si="17"/>
        <v>100000</v>
      </c>
      <c r="G112" s="159">
        <f t="shared" si="17"/>
        <v>100000</v>
      </c>
      <c r="H112" s="393">
        <f t="shared" si="17"/>
        <v>100000</v>
      </c>
    </row>
    <row r="113" spans="1:8">
      <c r="A113" s="110" t="s">
        <v>178</v>
      </c>
      <c r="B113" s="123" t="s">
        <v>179</v>
      </c>
      <c r="C113" s="112" t="s">
        <v>224</v>
      </c>
      <c r="D113" s="397">
        <v>125000</v>
      </c>
      <c r="E113" s="112" t="s">
        <v>216</v>
      </c>
      <c r="F113" s="161">
        <v>100000</v>
      </c>
      <c r="G113" s="161">
        <v>100000</v>
      </c>
      <c r="H113" s="397">
        <v>100000</v>
      </c>
    </row>
    <row r="114" spans="1:8">
      <c r="A114" s="68" t="s">
        <v>127</v>
      </c>
      <c r="B114" s="18" t="s">
        <v>128</v>
      </c>
      <c r="C114" s="5" t="s">
        <v>224</v>
      </c>
      <c r="D114" s="393">
        <f>D115</f>
        <v>300000</v>
      </c>
      <c r="E114" s="5" t="s">
        <v>216</v>
      </c>
      <c r="F114" s="159">
        <f>F115</f>
        <v>375000</v>
      </c>
      <c r="G114" s="159">
        <f>G115</f>
        <v>375000</v>
      </c>
      <c r="H114" s="393">
        <f>H115</f>
        <v>375000</v>
      </c>
    </row>
    <row r="115" spans="1:8">
      <c r="A115" s="120">
        <v>4511</v>
      </c>
      <c r="B115" s="124" t="s">
        <v>219</v>
      </c>
      <c r="C115" s="112" t="s">
        <v>224</v>
      </c>
      <c r="D115" s="397">
        <v>300000</v>
      </c>
      <c r="E115" s="112" t="s">
        <v>216</v>
      </c>
      <c r="F115" s="161">
        <v>375000</v>
      </c>
      <c r="G115" s="161">
        <v>375000</v>
      </c>
      <c r="H115" s="397">
        <v>375000</v>
      </c>
    </row>
    <row r="116" spans="1:8">
      <c r="A116" s="71" t="s">
        <v>110</v>
      </c>
      <c r="B116" s="38" t="s">
        <v>111</v>
      </c>
      <c r="C116" s="39"/>
      <c r="D116" s="407">
        <f t="shared" ref="D116:H117" si="18">D117</f>
        <v>975000</v>
      </c>
      <c r="E116" s="39" t="s">
        <v>273</v>
      </c>
      <c r="F116" s="408">
        <f t="shared" si="18"/>
        <v>975000</v>
      </c>
      <c r="G116" s="408">
        <f t="shared" si="18"/>
        <v>975000</v>
      </c>
      <c r="H116" s="407">
        <f t="shared" si="18"/>
        <v>975000</v>
      </c>
    </row>
    <row r="117" spans="1:8">
      <c r="A117" s="72" t="s">
        <v>112</v>
      </c>
      <c r="B117" s="36" t="s">
        <v>113</v>
      </c>
      <c r="C117" s="37" t="s">
        <v>226</v>
      </c>
      <c r="D117" s="402">
        <f t="shared" si="18"/>
        <v>975000</v>
      </c>
      <c r="E117" s="37" t="s">
        <v>273</v>
      </c>
      <c r="F117" s="409">
        <f t="shared" si="18"/>
        <v>975000</v>
      </c>
      <c r="G117" s="409">
        <f t="shared" si="18"/>
        <v>975000</v>
      </c>
      <c r="H117" s="402">
        <f t="shared" si="18"/>
        <v>975000</v>
      </c>
    </row>
    <row r="118" spans="1:8">
      <c r="A118" s="110" t="s">
        <v>114</v>
      </c>
      <c r="B118" s="111" t="s">
        <v>113</v>
      </c>
      <c r="C118" s="112" t="s">
        <v>226</v>
      </c>
      <c r="D118" s="397">
        <v>975000</v>
      </c>
      <c r="E118" s="112" t="s">
        <v>273</v>
      </c>
      <c r="F118" s="161">
        <v>975000</v>
      </c>
      <c r="G118" s="161">
        <v>975000</v>
      </c>
      <c r="H118" s="397">
        <v>975000</v>
      </c>
    </row>
    <row r="119" spans="1:8">
      <c r="A119" s="67" t="s">
        <v>217</v>
      </c>
      <c r="B119" s="30" t="s">
        <v>218</v>
      </c>
      <c r="C119" s="13"/>
      <c r="D119" s="392">
        <f t="shared" ref="D119:H120" si="19">D120</f>
        <v>200000</v>
      </c>
      <c r="E119" s="13" t="s">
        <v>273</v>
      </c>
      <c r="F119" s="158">
        <f t="shared" si="19"/>
        <v>100000</v>
      </c>
      <c r="G119" s="158">
        <f t="shared" si="19"/>
        <v>100000</v>
      </c>
      <c r="H119" s="392">
        <f t="shared" si="19"/>
        <v>100000</v>
      </c>
    </row>
    <row r="120" spans="1:8">
      <c r="A120" s="68" t="s">
        <v>176</v>
      </c>
      <c r="B120" s="18" t="s">
        <v>177</v>
      </c>
      <c r="C120" s="5" t="s">
        <v>224</v>
      </c>
      <c r="D120" s="393">
        <f t="shared" si="19"/>
        <v>200000</v>
      </c>
      <c r="E120" s="5" t="s">
        <v>273</v>
      </c>
      <c r="F120" s="159">
        <f t="shared" si="19"/>
        <v>100000</v>
      </c>
      <c r="G120" s="159">
        <f t="shared" si="19"/>
        <v>100000</v>
      </c>
      <c r="H120" s="393">
        <f t="shared" si="19"/>
        <v>100000</v>
      </c>
    </row>
    <row r="121" spans="1:8">
      <c r="A121" s="110" t="s">
        <v>178</v>
      </c>
      <c r="B121" s="123" t="s">
        <v>179</v>
      </c>
      <c r="C121" s="112" t="s">
        <v>224</v>
      </c>
      <c r="D121" s="397">
        <v>200000</v>
      </c>
      <c r="E121" s="112" t="s">
        <v>273</v>
      </c>
      <c r="F121" s="161">
        <v>100000</v>
      </c>
      <c r="G121" s="161">
        <v>100000</v>
      </c>
      <c r="H121" s="397">
        <v>100000</v>
      </c>
    </row>
    <row r="122" spans="1:8">
      <c r="A122" s="67" t="s">
        <v>289</v>
      </c>
      <c r="B122" s="11" t="s">
        <v>290</v>
      </c>
      <c r="C122" s="13"/>
      <c r="D122" s="392">
        <f>D123+D125</f>
        <v>30155000</v>
      </c>
      <c r="E122" s="13" t="s">
        <v>292</v>
      </c>
      <c r="F122" s="158">
        <f>F123+F125</f>
        <v>0</v>
      </c>
      <c r="G122" s="158">
        <f>G123+G125</f>
        <v>0</v>
      </c>
      <c r="H122" s="392">
        <f>H123+H125</f>
        <v>0</v>
      </c>
    </row>
    <row r="123" spans="1:8">
      <c r="A123" s="68" t="s">
        <v>34</v>
      </c>
      <c r="B123" s="6" t="s">
        <v>35</v>
      </c>
      <c r="C123" s="5" t="s">
        <v>226</v>
      </c>
      <c r="D123" s="393">
        <f>D124</f>
        <v>155000</v>
      </c>
      <c r="E123" s="5" t="s">
        <v>292</v>
      </c>
      <c r="F123" s="159">
        <f t="shared" ref="F123:G123" si="20">F124</f>
        <v>0</v>
      </c>
      <c r="G123" s="159">
        <f t="shared" si="20"/>
        <v>0</v>
      </c>
      <c r="H123" s="393">
        <f>H124</f>
        <v>0</v>
      </c>
    </row>
    <row r="124" spans="1:8">
      <c r="A124" s="110" t="s">
        <v>36</v>
      </c>
      <c r="B124" s="111" t="s">
        <v>37</v>
      </c>
      <c r="C124" s="112" t="s">
        <v>226</v>
      </c>
      <c r="D124" s="397">
        <v>155000</v>
      </c>
      <c r="E124" s="112" t="s">
        <v>292</v>
      </c>
      <c r="F124" s="161">
        <v>0</v>
      </c>
      <c r="G124" s="161">
        <v>0</v>
      </c>
      <c r="H124" s="397">
        <v>0</v>
      </c>
    </row>
    <row r="125" spans="1:8">
      <c r="A125" s="68" t="s">
        <v>112</v>
      </c>
      <c r="B125" s="6" t="s">
        <v>113</v>
      </c>
      <c r="C125" s="5" t="s">
        <v>226</v>
      </c>
      <c r="D125" s="393">
        <f>D126</f>
        <v>30000000</v>
      </c>
      <c r="E125" s="5" t="s">
        <v>292</v>
      </c>
      <c r="F125" s="159">
        <f>F126</f>
        <v>0</v>
      </c>
      <c r="G125" s="159">
        <f>G126</f>
        <v>0</v>
      </c>
      <c r="H125" s="393">
        <f>H126</f>
        <v>0</v>
      </c>
    </row>
    <row r="126" spans="1:8" s="44" customFormat="1">
      <c r="A126" s="110" t="s">
        <v>114</v>
      </c>
      <c r="B126" s="111" t="s">
        <v>113</v>
      </c>
      <c r="C126" s="112" t="s">
        <v>226</v>
      </c>
      <c r="D126" s="397">
        <v>30000000</v>
      </c>
      <c r="E126" s="112" t="s">
        <v>292</v>
      </c>
      <c r="F126" s="161">
        <v>0</v>
      </c>
      <c r="G126" s="161">
        <v>0</v>
      </c>
      <c r="H126" s="397">
        <v>0</v>
      </c>
    </row>
  </sheetData>
  <mergeCells count="2">
    <mergeCell ref="A13:H13"/>
    <mergeCell ref="A3:C12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>
    <oddFooter>&amp;CZALIHE&amp;R&amp;P</oddFooter>
  </headerFooter>
  <rowBreaks count="3" manualBreakCount="3">
    <brk id="34" max="7" man="1"/>
    <brk id="69" max="7" man="1"/>
    <brk id="10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110" zoomScaleNormal="110" zoomScaleSheetLayoutView="110" workbookViewId="0">
      <pane ySplit="12" topLeftCell="A13" activePane="bottomLeft" state="frozen"/>
      <selection pane="bottomLeft" activeCell="F3" sqref="F3:H3"/>
    </sheetView>
  </sheetViews>
  <sheetFormatPr defaultRowHeight="15"/>
  <cols>
    <col min="1" max="1" width="10.7109375" style="66" customWidth="1"/>
    <col min="2" max="2" width="50.5703125" customWidth="1"/>
    <col min="3" max="3" width="5.7109375" customWidth="1"/>
    <col min="4" max="4" width="14.7109375" style="44" customWidth="1"/>
    <col min="5" max="5" width="5.7109375" customWidth="1"/>
    <col min="6" max="7" width="16.7109375" style="44" customWidth="1"/>
    <col min="8" max="8" width="16.7109375" customWidth="1"/>
    <col min="9" max="9" width="12.85546875" customWidth="1"/>
  </cols>
  <sheetData>
    <row r="1" spans="1:11" ht="30" customHeight="1">
      <c r="A1" s="83"/>
      <c r="B1" s="84"/>
      <c r="C1" s="85" t="s">
        <v>220</v>
      </c>
      <c r="D1" s="80" t="s">
        <v>302</v>
      </c>
      <c r="E1" s="85" t="s">
        <v>180</v>
      </c>
      <c r="F1" s="80" t="s">
        <v>398</v>
      </c>
      <c r="G1" s="80" t="s">
        <v>399</v>
      </c>
      <c r="H1" s="316" t="s">
        <v>400</v>
      </c>
    </row>
    <row r="2" spans="1:11" ht="25.5" customHeight="1">
      <c r="A2" s="86" t="s">
        <v>152</v>
      </c>
      <c r="B2" s="87" t="s">
        <v>153</v>
      </c>
      <c r="C2" s="88"/>
      <c r="D2" s="89">
        <f>D13+D58+D63</f>
        <v>4400000</v>
      </c>
      <c r="E2" s="88"/>
      <c r="F2" s="89">
        <f>F13+F58+F63</f>
        <v>2000000</v>
      </c>
      <c r="G2" s="89">
        <f>G13+G58+G63</f>
        <v>0</v>
      </c>
      <c r="H2" s="89">
        <f>H13+H58+H63</f>
        <v>0</v>
      </c>
    </row>
    <row r="3" spans="1:11" ht="15" customHeight="1">
      <c r="A3" s="599"/>
      <c r="B3" s="599"/>
      <c r="C3" s="600"/>
      <c r="D3" s="25">
        <f>D13+D58+D63</f>
        <v>4400000</v>
      </c>
      <c r="E3" s="94">
        <v>11</v>
      </c>
      <c r="F3" s="25">
        <f t="shared" ref="F3:G3" si="0">F13+F58+F63</f>
        <v>2000000</v>
      </c>
      <c r="G3" s="25">
        <f t="shared" si="0"/>
        <v>0</v>
      </c>
      <c r="H3" s="25">
        <f>H13+H58+H63</f>
        <v>0</v>
      </c>
      <c r="I3" s="26"/>
      <c r="J3" s="44"/>
      <c r="K3" s="44"/>
    </row>
    <row r="4" spans="1:11">
      <c r="A4" s="601"/>
      <c r="B4" s="601"/>
      <c r="C4" s="602"/>
      <c r="D4" s="25">
        <v>0</v>
      </c>
      <c r="E4" s="24">
        <v>12</v>
      </c>
      <c r="F4" s="25">
        <v>0</v>
      </c>
      <c r="G4" s="25">
        <v>0</v>
      </c>
      <c r="H4" s="25">
        <v>0</v>
      </c>
      <c r="I4" s="44"/>
      <c r="J4" s="44"/>
      <c r="K4" s="44"/>
    </row>
    <row r="5" spans="1:11">
      <c r="A5" s="601"/>
      <c r="B5" s="601"/>
      <c r="C5" s="602"/>
      <c r="D5" s="33">
        <f>D3+D4</f>
        <v>4400000</v>
      </c>
      <c r="E5" s="34" t="s">
        <v>267</v>
      </c>
      <c r="F5" s="33">
        <f>F3+F4</f>
        <v>2000000</v>
      </c>
      <c r="G5" s="33">
        <f>G3+G4</f>
        <v>0</v>
      </c>
      <c r="H5" s="33">
        <f>H3+H4</f>
        <v>0</v>
      </c>
      <c r="I5" s="44"/>
      <c r="J5" s="44"/>
      <c r="K5" s="44"/>
    </row>
    <row r="6" spans="1:11">
      <c r="A6" s="601"/>
      <c r="B6" s="601"/>
      <c r="C6" s="602"/>
      <c r="D6" s="25">
        <v>0</v>
      </c>
      <c r="E6" s="24" t="s">
        <v>216</v>
      </c>
      <c r="F6" s="25">
        <v>0</v>
      </c>
      <c r="G6" s="25">
        <v>0</v>
      </c>
      <c r="H6" s="25">
        <v>0</v>
      </c>
      <c r="I6" s="44"/>
      <c r="J6" s="44"/>
      <c r="K6" s="44"/>
    </row>
    <row r="7" spans="1:11">
      <c r="A7" s="601"/>
      <c r="B7" s="601"/>
      <c r="C7" s="602"/>
      <c r="D7" s="25">
        <v>0</v>
      </c>
      <c r="E7" s="24" t="s">
        <v>235</v>
      </c>
      <c r="F7" s="25">
        <v>0</v>
      </c>
      <c r="G7" s="25">
        <v>0</v>
      </c>
      <c r="H7" s="25">
        <v>0</v>
      </c>
      <c r="I7" s="44"/>
      <c r="J7" s="44"/>
      <c r="K7" s="44"/>
    </row>
    <row r="8" spans="1:11">
      <c r="A8" s="601"/>
      <c r="B8" s="601"/>
      <c r="C8" s="602"/>
      <c r="D8" s="25">
        <v>0</v>
      </c>
      <c r="E8" s="24" t="s">
        <v>264</v>
      </c>
      <c r="F8" s="25">
        <v>0</v>
      </c>
      <c r="G8" s="25">
        <v>0</v>
      </c>
      <c r="H8" s="25">
        <v>0</v>
      </c>
      <c r="I8" s="44"/>
      <c r="J8" s="44"/>
      <c r="K8" s="44"/>
    </row>
    <row r="9" spans="1:11">
      <c r="A9" s="601"/>
      <c r="B9" s="601"/>
      <c r="C9" s="602"/>
      <c r="D9" s="25">
        <v>0</v>
      </c>
      <c r="E9" s="24" t="s">
        <v>265</v>
      </c>
      <c r="F9" s="25">
        <v>0</v>
      </c>
      <c r="G9" s="25">
        <v>0</v>
      </c>
      <c r="H9" s="25">
        <v>0</v>
      </c>
      <c r="I9" s="44"/>
      <c r="J9" s="44"/>
      <c r="K9" s="44"/>
    </row>
    <row r="10" spans="1:11">
      <c r="A10" s="601"/>
      <c r="B10" s="601"/>
      <c r="C10" s="602"/>
      <c r="D10" s="25">
        <v>0</v>
      </c>
      <c r="E10" s="24" t="s">
        <v>234</v>
      </c>
      <c r="F10" s="25">
        <v>0</v>
      </c>
      <c r="G10" s="25">
        <v>0</v>
      </c>
      <c r="H10" s="25">
        <v>0</v>
      </c>
      <c r="I10" s="44"/>
      <c r="J10" s="44"/>
      <c r="K10" s="44"/>
    </row>
    <row r="11" spans="1:11">
      <c r="A11" s="613"/>
      <c r="B11" s="613"/>
      <c r="C11" s="614"/>
      <c r="D11" s="25">
        <v>0</v>
      </c>
      <c r="E11" s="24" t="s">
        <v>292</v>
      </c>
      <c r="F11" s="25">
        <v>0</v>
      </c>
      <c r="G11" s="25">
        <v>0</v>
      </c>
      <c r="H11" s="25">
        <v>0</v>
      </c>
      <c r="I11" s="44"/>
      <c r="J11" s="44"/>
      <c r="K11" s="44"/>
    </row>
    <row r="12" spans="1:11" ht="25.5" customHeight="1">
      <c r="A12" s="609" t="s">
        <v>231</v>
      </c>
      <c r="B12" s="610"/>
      <c r="C12" s="610"/>
      <c r="D12" s="610"/>
      <c r="E12" s="610"/>
      <c r="F12" s="612"/>
      <c r="G12" s="611"/>
      <c r="H12" s="610"/>
    </row>
    <row r="13" spans="1:11">
      <c r="A13" s="67" t="s">
        <v>154</v>
      </c>
      <c r="B13" s="11" t="s">
        <v>155</v>
      </c>
      <c r="C13" s="13"/>
      <c r="D13" s="12">
        <f>D14+D18+D20+D23+D27+D33+D43+D50+D54</f>
        <v>4057000</v>
      </c>
      <c r="E13" s="13">
        <v>11</v>
      </c>
      <c r="F13" s="12">
        <f t="shared" ref="F13:G13" si="1">F14+F18+F20+F23+F27+F33+F43+F50+F54</f>
        <v>1800000</v>
      </c>
      <c r="G13" s="12">
        <f t="shared" si="1"/>
        <v>0</v>
      </c>
      <c r="H13" s="12">
        <f>H14+H18+H20+H23+H27+H33+H43+H50+H54</f>
        <v>0</v>
      </c>
    </row>
    <row r="14" spans="1:11">
      <c r="A14" s="68" t="s">
        <v>1</v>
      </c>
      <c r="B14" s="6" t="s">
        <v>2</v>
      </c>
      <c r="C14" s="5" t="s">
        <v>230</v>
      </c>
      <c r="D14" s="1">
        <f>D15+D16+D17</f>
        <v>2253000</v>
      </c>
      <c r="E14" s="5">
        <v>11</v>
      </c>
      <c r="F14" s="1">
        <f>F15+F16+F17</f>
        <v>691000</v>
      </c>
      <c r="G14" s="1">
        <f>G15+G16+G17</f>
        <v>0</v>
      </c>
      <c r="H14" s="1">
        <f>H15+H16+H17</f>
        <v>0</v>
      </c>
    </row>
    <row r="15" spans="1:11">
      <c r="A15" s="69" t="s">
        <v>3</v>
      </c>
      <c r="B15" s="7" t="s">
        <v>4</v>
      </c>
      <c r="C15" s="10" t="s">
        <v>230</v>
      </c>
      <c r="D15" s="8">
        <v>2252000</v>
      </c>
      <c r="E15" s="10">
        <v>11</v>
      </c>
      <c r="F15" s="8">
        <v>690000</v>
      </c>
      <c r="G15" s="8">
        <v>0</v>
      </c>
      <c r="H15" s="8"/>
    </row>
    <row r="16" spans="1:11">
      <c r="A16" s="69" t="s">
        <v>149</v>
      </c>
      <c r="B16" s="7" t="s">
        <v>150</v>
      </c>
      <c r="C16" s="10" t="s">
        <v>230</v>
      </c>
      <c r="D16" s="8">
        <v>500</v>
      </c>
      <c r="E16" s="10">
        <v>11</v>
      </c>
      <c r="F16" s="8">
        <v>500</v>
      </c>
      <c r="G16" s="8">
        <v>0</v>
      </c>
      <c r="H16" s="8"/>
    </row>
    <row r="17" spans="1:8">
      <c r="A17" s="69" t="s">
        <v>5</v>
      </c>
      <c r="B17" s="7" t="s">
        <v>229</v>
      </c>
      <c r="C17" s="10" t="s">
        <v>230</v>
      </c>
      <c r="D17" s="8">
        <v>500</v>
      </c>
      <c r="E17" s="10" t="s">
        <v>0</v>
      </c>
      <c r="F17" s="8">
        <v>500</v>
      </c>
      <c r="G17" s="8">
        <v>0</v>
      </c>
      <c r="H17" s="8"/>
    </row>
    <row r="18" spans="1:8">
      <c r="A18" s="68" t="s">
        <v>7</v>
      </c>
      <c r="B18" s="6" t="s">
        <v>8</v>
      </c>
      <c r="C18" s="5" t="s">
        <v>230</v>
      </c>
      <c r="D18" s="1">
        <f>D19</f>
        <v>88000</v>
      </c>
      <c r="E18" s="5">
        <v>11</v>
      </c>
      <c r="F18" s="1">
        <f>F19</f>
        <v>9000</v>
      </c>
      <c r="G18" s="1">
        <f>G19</f>
        <v>0</v>
      </c>
      <c r="H18" s="1">
        <f>H19</f>
        <v>0</v>
      </c>
    </row>
    <row r="19" spans="1:8">
      <c r="A19" s="69" t="s">
        <v>9</v>
      </c>
      <c r="B19" s="7" t="s">
        <v>8</v>
      </c>
      <c r="C19" s="10" t="s">
        <v>230</v>
      </c>
      <c r="D19" s="8">
        <v>88000</v>
      </c>
      <c r="E19" s="10">
        <v>11</v>
      </c>
      <c r="F19" s="8">
        <v>9000</v>
      </c>
      <c r="G19" s="8">
        <v>0</v>
      </c>
      <c r="H19" s="8"/>
    </row>
    <row r="20" spans="1:8">
      <c r="A20" s="68" t="s">
        <v>10</v>
      </c>
      <c r="B20" s="6" t="s">
        <v>11</v>
      </c>
      <c r="C20" s="5" t="s">
        <v>230</v>
      </c>
      <c r="D20" s="1">
        <f>D21+D22</f>
        <v>388700</v>
      </c>
      <c r="E20" s="5">
        <v>11</v>
      </c>
      <c r="F20" s="1">
        <f>F21+F22</f>
        <v>120000</v>
      </c>
      <c r="G20" s="1">
        <f>G21+G22</f>
        <v>0</v>
      </c>
      <c r="H20" s="1">
        <f>H21+H22</f>
        <v>0</v>
      </c>
    </row>
    <row r="21" spans="1:8">
      <c r="A21" s="69" t="s">
        <v>12</v>
      </c>
      <c r="B21" s="7" t="s">
        <v>13</v>
      </c>
      <c r="C21" s="10" t="s">
        <v>230</v>
      </c>
      <c r="D21" s="8">
        <v>350200</v>
      </c>
      <c r="E21" s="10">
        <v>11</v>
      </c>
      <c r="F21" s="8">
        <v>107000</v>
      </c>
      <c r="G21" s="8">
        <v>0</v>
      </c>
      <c r="H21" s="8"/>
    </row>
    <row r="22" spans="1:8">
      <c r="A22" s="69" t="s">
        <v>14</v>
      </c>
      <c r="B22" s="7" t="s">
        <v>15</v>
      </c>
      <c r="C22" s="10" t="s">
        <v>230</v>
      </c>
      <c r="D22" s="8">
        <v>38500</v>
      </c>
      <c r="E22" s="10">
        <v>11</v>
      </c>
      <c r="F22" s="8">
        <v>13000</v>
      </c>
      <c r="G22" s="8">
        <v>0</v>
      </c>
      <c r="H22" s="8"/>
    </row>
    <row r="23" spans="1:8">
      <c r="A23" s="68" t="s">
        <v>16</v>
      </c>
      <c r="B23" s="6" t="s">
        <v>17</v>
      </c>
      <c r="C23" s="5" t="s">
        <v>230</v>
      </c>
      <c r="D23" s="1">
        <f>D24+D25+D26</f>
        <v>165800</v>
      </c>
      <c r="E23" s="5">
        <v>11</v>
      </c>
      <c r="F23" s="1">
        <f>F24+F25+F26</f>
        <v>135000</v>
      </c>
      <c r="G23" s="1">
        <f>G24+G25+G26</f>
        <v>0</v>
      </c>
      <c r="H23" s="1">
        <f>H24+H25+H26</f>
        <v>0</v>
      </c>
    </row>
    <row r="24" spans="1:8">
      <c r="A24" s="69" t="s">
        <v>18</v>
      </c>
      <c r="B24" s="7" t="s">
        <v>19</v>
      </c>
      <c r="C24" s="10" t="s">
        <v>230</v>
      </c>
      <c r="D24" s="8">
        <v>68000</v>
      </c>
      <c r="E24" s="10" t="s">
        <v>0</v>
      </c>
      <c r="F24" s="8">
        <v>50000</v>
      </c>
      <c r="G24" s="8">
        <v>0</v>
      </c>
      <c r="H24" s="8"/>
    </row>
    <row r="25" spans="1:8">
      <c r="A25" s="69" t="s">
        <v>20</v>
      </c>
      <c r="B25" s="7" t="s">
        <v>21</v>
      </c>
      <c r="C25" s="10" t="s">
        <v>230</v>
      </c>
      <c r="D25" s="8">
        <v>82800</v>
      </c>
      <c r="E25" s="10">
        <v>11</v>
      </c>
      <c r="F25" s="8">
        <v>30000</v>
      </c>
      <c r="G25" s="8">
        <v>0</v>
      </c>
      <c r="H25" s="8"/>
    </row>
    <row r="26" spans="1:8">
      <c r="A26" s="69" t="s">
        <v>22</v>
      </c>
      <c r="B26" s="7" t="s">
        <v>23</v>
      </c>
      <c r="C26" s="10" t="s">
        <v>230</v>
      </c>
      <c r="D26" s="8">
        <v>15000</v>
      </c>
      <c r="E26" s="10">
        <v>11</v>
      </c>
      <c r="F26" s="8">
        <v>55000</v>
      </c>
      <c r="G26" s="8">
        <v>0</v>
      </c>
      <c r="H26" s="8"/>
    </row>
    <row r="27" spans="1:8">
      <c r="A27" s="68" t="s">
        <v>24</v>
      </c>
      <c r="B27" s="6" t="s">
        <v>25</v>
      </c>
      <c r="C27" s="5" t="s">
        <v>230</v>
      </c>
      <c r="D27" s="1">
        <f>D28+D29+D30+D31+D32</f>
        <v>189200</v>
      </c>
      <c r="E27" s="5">
        <v>11</v>
      </c>
      <c r="F27" s="1">
        <f>F28+F29+F30+F31+F32</f>
        <v>126000</v>
      </c>
      <c r="G27" s="1">
        <f>G28+G29+G30+G31+G32</f>
        <v>0</v>
      </c>
      <c r="H27" s="1">
        <f>H28+H29+H30+H31+H32</f>
        <v>0</v>
      </c>
    </row>
    <row r="28" spans="1:8">
      <c r="A28" s="69" t="s">
        <v>26</v>
      </c>
      <c r="B28" s="7" t="s">
        <v>27</v>
      </c>
      <c r="C28" s="10" t="s">
        <v>230</v>
      </c>
      <c r="D28" s="8">
        <v>26600</v>
      </c>
      <c r="E28" s="10">
        <v>11</v>
      </c>
      <c r="F28" s="8">
        <v>25000</v>
      </c>
      <c r="G28" s="8">
        <v>0</v>
      </c>
      <c r="H28" s="8"/>
    </row>
    <row r="29" spans="1:8">
      <c r="A29" s="69" t="s">
        <v>28</v>
      </c>
      <c r="B29" s="7" t="s">
        <v>29</v>
      </c>
      <c r="C29" s="10" t="s">
        <v>230</v>
      </c>
      <c r="D29" s="8">
        <v>149000</v>
      </c>
      <c r="E29" s="10">
        <v>11</v>
      </c>
      <c r="F29" s="8">
        <v>90000</v>
      </c>
      <c r="G29" s="8">
        <v>0</v>
      </c>
      <c r="H29" s="8"/>
    </row>
    <row r="30" spans="1:8">
      <c r="A30" s="69" t="s">
        <v>30</v>
      </c>
      <c r="B30" s="7" t="s">
        <v>31</v>
      </c>
      <c r="C30" s="10" t="s">
        <v>230</v>
      </c>
      <c r="D30" s="8">
        <v>7600</v>
      </c>
      <c r="E30" s="10">
        <v>11</v>
      </c>
      <c r="F30" s="8">
        <v>7000</v>
      </c>
      <c r="G30" s="8">
        <v>0</v>
      </c>
      <c r="H30" s="8"/>
    </row>
    <row r="31" spans="1:8">
      <c r="A31" s="69" t="s">
        <v>32</v>
      </c>
      <c r="B31" s="7" t="s">
        <v>33</v>
      </c>
      <c r="C31" s="10" t="s">
        <v>230</v>
      </c>
      <c r="D31" s="8">
        <v>1000</v>
      </c>
      <c r="E31" s="10" t="s">
        <v>0</v>
      </c>
      <c r="F31" s="8">
        <v>1000</v>
      </c>
      <c r="G31" s="8">
        <v>0</v>
      </c>
      <c r="H31" s="8"/>
    </row>
    <row r="32" spans="1:8">
      <c r="A32" s="69" t="s">
        <v>103</v>
      </c>
      <c r="B32" s="7" t="s">
        <v>184</v>
      </c>
      <c r="C32" s="10" t="s">
        <v>230</v>
      </c>
      <c r="D32" s="8">
        <v>5000</v>
      </c>
      <c r="E32" s="10" t="s">
        <v>0</v>
      </c>
      <c r="F32" s="8">
        <v>3000</v>
      </c>
      <c r="G32" s="8">
        <v>0</v>
      </c>
      <c r="H32" s="8"/>
    </row>
    <row r="33" spans="1:8">
      <c r="A33" s="68" t="s">
        <v>34</v>
      </c>
      <c r="B33" s="6" t="s">
        <v>35</v>
      </c>
      <c r="C33" s="5" t="s">
        <v>230</v>
      </c>
      <c r="D33" s="1">
        <f>D34+D35+D36+D37+D38+D39+D40+D41+D42</f>
        <v>892400</v>
      </c>
      <c r="E33" s="5">
        <v>11</v>
      </c>
      <c r="F33" s="1">
        <f>F34+F35+F36+F37+F38+F39+F40+F41+F42</f>
        <v>424000</v>
      </c>
      <c r="G33" s="1">
        <f>G34+G35+G36+G37+G38+G39+G40+G41+G42</f>
        <v>0</v>
      </c>
      <c r="H33" s="1">
        <f>H34+H35+H36+H37+H38+H39+H40+H41+H42</f>
        <v>0</v>
      </c>
    </row>
    <row r="34" spans="1:8">
      <c r="A34" s="69" t="s">
        <v>36</v>
      </c>
      <c r="B34" s="7" t="s">
        <v>37</v>
      </c>
      <c r="C34" s="10" t="s">
        <v>230</v>
      </c>
      <c r="D34" s="8">
        <v>80000</v>
      </c>
      <c r="E34" s="10">
        <v>11</v>
      </c>
      <c r="F34" s="8">
        <v>30000</v>
      </c>
      <c r="G34" s="8">
        <v>0</v>
      </c>
      <c r="H34" s="8"/>
    </row>
    <row r="35" spans="1:8">
      <c r="A35" s="69" t="s">
        <v>38</v>
      </c>
      <c r="B35" s="7" t="s">
        <v>39</v>
      </c>
      <c r="C35" s="10" t="s">
        <v>230</v>
      </c>
      <c r="D35" s="8">
        <v>19000</v>
      </c>
      <c r="E35" s="10">
        <v>11</v>
      </c>
      <c r="F35" s="8">
        <v>20000</v>
      </c>
      <c r="G35" s="8">
        <v>0</v>
      </c>
      <c r="H35" s="8"/>
    </row>
    <row r="36" spans="1:8">
      <c r="A36" s="69" t="s">
        <v>40</v>
      </c>
      <c r="B36" s="7" t="s">
        <v>41</v>
      </c>
      <c r="C36" s="10" t="s">
        <v>230</v>
      </c>
      <c r="D36" s="8">
        <v>5000</v>
      </c>
      <c r="E36" s="10">
        <v>11</v>
      </c>
      <c r="F36" s="8">
        <v>5000</v>
      </c>
      <c r="G36" s="8">
        <v>0</v>
      </c>
      <c r="H36" s="8"/>
    </row>
    <row r="37" spans="1:8">
      <c r="A37" s="69" t="s">
        <v>42</v>
      </c>
      <c r="B37" s="7" t="s">
        <v>43</v>
      </c>
      <c r="C37" s="10" t="s">
        <v>230</v>
      </c>
      <c r="D37" s="8">
        <v>80000</v>
      </c>
      <c r="E37" s="10">
        <v>11</v>
      </c>
      <c r="F37" s="8">
        <v>30000</v>
      </c>
      <c r="G37" s="8">
        <v>0</v>
      </c>
      <c r="H37" s="8"/>
    </row>
    <row r="38" spans="1:8">
      <c r="A38" s="69" t="s">
        <v>44</v>
      </c>
      <c r="B38" s="7" t="s">
        <v>45</v>
      </c>
      <c r="C38" s="10" t="s">
        <v>230</v>
      </c>
      <c r="D38" s="8">
        <v>388000</v>
      </c>
      <c r="E38" s="10">
        <v>11</v>
      </c>
      <c r="F38" s="8">
        <v>130000</v>
      </c>
      <c r="G38" s="8">
        <v>0</v>
      </c>
      <c r="H38" s="8"/>
    </row>
    <row r="39" spans="1:8">
      <c r="A39" s="69" t="s">
        <v>46</v>
      </c>
      <c r="B39" s="7" t="s">
        <v>47</v>
      </c>
      <c r="C39" s="10" t="s">
        <v>230</v>
      </c>
      <c r="D39" s="8">
        <v>11400</v>
      </c>
      <c r="E39" s="10">
        <v>11</v>
      </c>
      <c r="F39" s="8">
        <v>4000</v>
      </c>
      <c r="G39" s="8">
        <v>0</v>
      </c>
      <c r="H39" s="8"/>
    </row>
    <row r="40" spans="1:8">
      <c r="A40" s="69" t="s">
        <v>48</v>
      </c>
      <c r="B40" s="7" t="s">
        <v>49</v>
      </c>
      <c r="C40" s="10" t="s">
        <v>230</v>
      </c>
      <c r="D40" s="8">
        <v>71000</v>
      </c>
      <c r="E40" s="10">
        <v>11</v>
      </c>
      <c r="F40" s="8">
        <v>90000</v>
      </c>
      <c r="G40" s="8">
        <v>0</v>
      </c>
      <c r="H40" s="8"/>
    </row>
    <row r="41" spans="1:8">
      <c r="A41" s="69" t="s">
        <v>50</v>
      </c>
      <c r="B41" s="7" t="s">
        <v>51</v>
      </c>
      <c r="C41" s="10" t="s">
        <v>230</v>
      </c>
      <c r="D41" s="8">
        <v>75000</v>
      </c>
      <c r="E41" s="10">
        <v>11</v>
      </c>
      <c r="F41" s="8">
        <v>25000</v>
      </c>
      <c r="G41" s="8">
        <v>0</v>
      </c>
      <c r="H41" s="8"/>
    </row>
    <row r="42" spans="1:8">
      <c r="A42" s="69" t="s">
        <v>52</v>
      </c>
      <c r="B42" s="7" t="s">
        <v>53</v>
      </c>
      <c r="C42" s="10" t="s">
        <v>230</v>
      </c>
      <c r="D42" s="8">
        <v>163000</v>
      </c>
      <c r="E42" s="10">
        <v>11</v>
      </c>
      <c r="F42" s="8">
        <v>90000</v>
      </c>
      <c r="G42" s="8">
        <v>0</v>
      </c>
      <c r="H42" s="8"/>
    </row>
    <row r="43" spans="1:8">
      <c r="A43" s="68" t="s">
        <v>57</v>
      </c>
      <c r="B43" s="6" t="s">
        <v>58</v>
      </c>
      <c r="C43" s="5" t="s">
        <v>230</v>
      </c>
      <c r="D43" s="1">
        <f>D44+D45+D46+D47+D48+D49</f>
        <v>62900</v>
      </c>
      <c r="E43" s="5">
        <v>11</v>
      </c>
      <c r="F43" s="1">
        <f>F44+F45+F46+F47+F48+F49</f>
        <v>81000</v>
      </c>
      <c r="G43" s="1">
        <f>G44+G45+G46+G47+G48+G49</f>
        <v>0</v>
      </c>
      <c r="H43" s="1">
        <f>H44+H45+H46+H47+H48+H49</f>
        <v>0</v>
      </c>
    </row>
    <row r="44" spans="1:8">
      <c r="A44" s="69" t="s">
        <v>59</v>
      </c>
      <c r="B44" s="7" t="s">
        <v>60</v>
      </c>
      <c r="C44" s="10" t="s">
        <v>230</v>
      </c>
      <c r="D44" s="8">
        <v>45000</v>
      </c>
      <c r="E44" s="10">
        <v>11</v>
      </c>
      <c r="F44" s="8">
        <v>48000</v>
      </c>
      <c r="G44" s="8">
        <v>0</v>
      </c>
      <c r="H44" s="8"/>
    </row>
    <row r="45" spans="1:8">
      <c r="A45" s="69" t="s">
        <v>61</v>
      </c>
      <c r="B45" s="7" t="s">
        <v>62</v>
      </c>
      <c r="C45" s="10" t="s">
        <v>230</v>
      </c>
      <c r="D45" s="8">
        <v>4300</v>
      </c>
      <c r="E45" s="10">
        <v>11</v>
      </c>
      <c r="F45" s="8">
        <v>5000</v>
      </c>
      <c r="G45" s="8">
        <v>0</v>
      </c>
      <c r="H45" s="8"/>
    </row>
    <row r="46" spans="1:8">
      <c r="A46" s="69" t="s">
        <v>63</v>
      </c>
      <c r="B46" s="7" t="s">
        <v>64</v>
      </c>
      <c r="C46" s="10" t="s">
        <v>230</v>
      </c>
      <c r="D46" s="8">
        <v>1000</v>
      </c>
      <c r="E46" s="10">
        <v>11</v>
      </c>
      <c r="F46" s="8">
        <v>1000</v>
      </c>
      <c r="G46" s="8">
        <v>0</v>
      </c>
      <c r="H46" s="8"/>
    </row>
    <row r="47" spans="1:8">
      <c r="A47" s="69" t="s">
        <v>65</v>
      </c>
      <c r="B47" s="7" t="s">
        <v>66</v>
      </c>
      <c r="C47" s="10" t="s">
        <v>230</v>
      </c>
      <c r="D47" s="8">
        <v>600</v>
      </c>
      <c r="E47" s="10">
        <v>11</v>
      </c>
      <c r="F47" s="8">
        <v>2000</v>
      </c>
      <c r="G47" s="8">
        <v>0</v>
      </c>
      <c r="H47" s="8"/>
    </row>
    <row r="48" spans="1:8">
      <c r="A48" s="69" t="s">
        <v>67</v>
      </c>
      <c r="B48" s="7" t="s">
        <v>68</v>
      </c>
      <c r="C48" s="10" t="s">
        <v>230</v>
      </c>
      <c r="D48" s="8">
        <v>10000</v>
      </c>
      <c r="E48" s="10" t="s">
        <v>0</v>
      </c>
      <c r="F48" s="8">
        <v>20000</v>
      </c>
      <c r="G48" s="8">
        <v>0</v>
      </c>
      <c r="H48" s="8"/>
    </row>
    <row r="49" spans="1:8">
      <c r="A49" s="69" t="s">
        <v>69</v>
      </c>
      <c r="B49" s="7" t="s">
        <v>58</v>
      </c>
      <c r="C49" s="10" t="s">
        <v>230</v>
      </c>
      <c r="D49" s="8">
        <v>2000</v>
      </c>
      <c r="E49" s="10">
        <v>11</v>
      </c>
      <c r="F49" s="8">
        <v>5000</v>
      </c>
      <c r="G49" s="8">
        <v>0</v>
      </c>
      <c r="H49" s="8"/>
    </row>
    <row r="50" spans="1:8">
      <c r="A50" s="68" t="s">
        <v>70</v>
      </c>
      <c r="B50" s="6" t="s">
        <v>71</v>
      </c>
      <c r="C50" s="5" t="s">
        <v>230</v>
      </c>
      <c r="D50" s="1">
        <f>D51+D52+D53</f>
        <v>3500</v>
      </c>
      <c r="E50" s="5">
        <v>11</v>
      </c>
      <c r="F50" s="1">
        <f>F51+F52+F53</f>
        <v>3000</v>
      </c>
      <c r="G50" s="1">
        <f>G51+G52+G53</f>
        <v>0</v>
      </c>
      <c r="H50" s="1">
        <f>H51+H52+H53</f>
        <v>0</v>
      </c>
    </row>
    <row r="51" spans="1:8">
      <c r="A51" s="69" t="s">
        <v>72</v>
      </c>
      <c r="B51" s="7" t="s">
        <v>73</v>
      </c>
      <c r="C51" s="10" t="s">
        <v>230</v>
      </c>
      <c r="D51" s="8">
        <v>2000</v>
      </c>
      <c r="E51" s="10">
        <v>11</v>
      </c>
      <c r="F51" s="8">
        <v>1000</v>
      </c>
      <c r="G51" s="8">
        <v>0</v>
      </c>
      <c r="H51" s="8"/>
    </row>
    <row r="52" spans="1:8">
      <c r="A52" s="69" t="s">
        <v>74</v>
      </c>
      <c r="B52" s="7" t="s">
        <v>75</v>
      </c>
      <c r="C52" s="10" t="s">
        <v>230</v>
      </c>
      <c r="D52" s="8">
        <v>1000</v>
      </c>
      <c r="E52" s="10">
        <v>11</v>
      </c>
      <c r="F52" s="8">
        <v>1000</v>
      </c>
      <c r="G52" s="8">
        <v>0</v>
      </c>
      <c r="H52" s="8"/>
    </row>
    <row r="53" spans="1:8">
      <c r="A53" s="69" t="s">
        <v>76</v>
      </c>
      <c r="B53" s="7" t="s">
        <v>77</v>
      </c>
      <c r="C53" s="10" t="s">
        <v>230</v>
      </c>
      <c r="D53" s="8">
        <v>500</v>
      </c>
      <c r="E53" s="10">
        <v>11</v>
      </c>
      <c r="F53" s="8">
        <v>1000</v>
      </c>
      <c r="G53" s="8">
        <v>0</v>
      </c>
      <c r="H53" s="8"/>
    </row>
    <row r="54" spans="1:8">
      <c r="A54" s="68" t="s">
        <v>88</v>
      </c>
      <c r="B54" s="6" t="s">
        <v>89</v>
      </c>
      <c r="C54" s="5" t="s">
        <v>230</v>
      </c>
      <c r="D54" s="1">
        <f>D55+D56+D57</f>
        <v>13500</v>
      </c>
      <c r="E54" s="5">
        <v>11</v>
      </c>
      <c r="F54" s="1">
        <f t="shared" ref="F54:G54" si="2">F55+F56+F57</f>
        <v>211000</v>
      </c>
      <c r="G54" s="1">
        <f t="shared" si="2"/>
        <v>0</v>
      </c>
      <c r="H54" s="1">
        <f>H55+H56+H57</f>
        <v>0</v>
      </c>
    </row>
    <row r="55" spans="1:8">
      <c r="A55" s="69" t="s">
        <v>90</v>
      </c>
      <c r="B55" s="7" t="s">
        <v>91</v>
      </c>
      <c r="C55" s="10" t="s">
        <v>230</v>
      </c>
      <c r="D55" s="8">
        <v>12000</v>
      </c>
      <c r="E55" s="10">
        <v>11</v>
      </c>
      <c r="F55" s="8">
        <v>10000</v>
      </c>
      <c r="G55" s="8">
        <v>0</v>
      </c>
      <c r="H55" s="8"/>
    </row>
    <row r="56" spans="1:8">
      <c r="A56" s="69" t="s">
        <v>92</v>
      </c>
      <c r="B56" s="7" t="s">
        <v>93</v>
      </c>
      <c r="C56" s="10" t="s">
        <v>230</v>
      </c>
      <c r="D56" s="8">
        <v>500</v>
      </c>
      <c r="E56" s="10">
        <v>11</v>
      </c>
      <c r="F56" s="8">
        <v>1000</v>
      </c>
      <c r="G56" s="8">
        <v>0</v>
      </c>
      <c r="H56" s="8"/>
    </row>
    <row r="57" spans="1:8" s="44" customFormat="1">
      <c r="A57" s="69">
        <v>4225</v>
      </c>
      <c r="B57" s="7" t="s">
        <v>97</v>
      </c>
      <c r="C57" s="10" t="s">
        <v>230</v>
      </c>
      <c r="D57" s="8">
        <v>1000</v>
      </c>
      <c r="E57" s="10" t="s">
        <v>0</v>
      </c>
      <c r="F57" s="8">
        <v>200000</v>
      </c>
      <c r="G57" s="8">
        <v>0</v>
      </c>
      <c r="H57" s="8"/>
    </row>
    <row r="58" spans="1:8">
      <c r="A58" s="67" t="s">
        <v>156</v>
      </c>
      <c r="B58" s="11" t="s">
        <v>87</v>
      </c>
      <c r="C58" s="13"/>
      <c r="D58" s="12">
        <f>D59+D61</f>
        <v>6000</v>
      </c>
      <c r="E58" s="13">
        <v>11</v>
      </c>
      <c r="F58" s="12">
        <f>F59+F61</f>
        <v>80000</v>
      </c>
      <c r="G58" s="12">
        <f>G59+G61</f>
        <v>0</v>
      </c>
      <c r="H58" s="12">
        <f>H59+H61</f>
        <v>0</v>
      </c>
    </row>
    <row r="59" spans="1:8">
      <c r="A59" s="68" t="s">
        <v>83</v>
      </c>
      <c r="B59" s="6" t="s">
        <v>84</v>
      </c>
      <c r="C59" s="5" t="s">
        <v>230</v>
      </c>
      <c r="D59" s="1">
        <f>D60</f>
        <v>1000</v>
      </c>
      <c r="E59" s="5">
        <v>11</v>
      </c>
      <c r="F59" s="1">
        <f>F60</f>
        <v>10000</v>
      </c>
      <c r="G59" s="1">
        <f>G60</f>
        <v>0</v>
      </c>
      <c r="H59" s="1">
        <f>H60</f>
        <v>0</v>
      </c>
    </row>
    <row r="60" spans="1:8">
      <c r="A60" s="69" t="s">
        <v>85</v>
      </c>
      <c r="B60" s="7" t="s">
        <v>86</v>
      </c>
      <c r="C60" s="10" t="s">
        <v>230</v>
      </c>
      <c r="D60" s="8">
        <v>1000</v>
      </c>
      <c r="E60" s="10">
        <v>11</v>
      </c>
      <c r="F60" s="8">
        <v>10000</v>
      </c>
      <c r="G60" s="8">
        <v>0</v>
      </c>
      <c r="H60" s="8"/>
    </row>
    <row r="61" spans="1:8">
      <c r="A61" s="68" t="s">
        <v>140</v>
      </c>
      <c r="B61" s="6" t="s">
        <v>141</v>
      </c>
      <c r="C61" s="5" t="s">
        <v>230</v>
      </c>
      <c r="D61" s="1">
        <f>D62</f>
        <v>5000</v>
      </c>
      <c r="E61" s="5">
        <v>11</v>
      </c>
      <c r="F61" s="1">
        <f>F62</f>
        <v>70000</v>
      </c>
      <c r="G61" s="1">
        <f>G62</f>
        <v>0</v>
      </c>
      <c r="H61" s="1">
        <f>H62</f>
        <v>0</v>
      </c>
    </row>
    <row r="62" spans="1:8">
      <c r="A62" s="69" t="s">
        <v>142</v>
      </c>
      <c r="B62" s="7" t="s">
        <v>143</v>
      </c>
      <c r="C62" s="10" t="s">
        <v>230</v>
      </c>
      <c r="D62" s="8">
        <v>5000</v>
      </c>
      <c r="E62" s="10">
        <v>11</v>
      </c>
      <c r="F62" s="8">
        <v>70000</v>
      </c>
      <c r="G62" s="8">
        <v>0</v>
      </c>
      <c r="H62" s="8"/>
    </row>
    <row r="63" spans="1:8">
      <c r="A63" s="67" t="s">
        <v>157</v>
      </c>
      <c r="B63" s="11" t="s">
        <v>98</v>
      </c>
      <c r="C63" s="13"/>
      <c r="D63" s="12">
        <f t="shared" ref="D63:D64" si="3">D64</f>
        <v>337000</v>
      </c>
      <c r="E63" s="13">
        <v>11</v>
      </c>
      <c r="F63" s="12">
        <f t="shared" ref="F63:H64" si="4">F64</f>
        <v>120000</v>
      </c>
      <c r="G63" s="12">
        <f t="shared" si="4"/>
        <v>0</v>
      </c>
      <c r="H63" s="12">
        <f t="shared" si="4"/>
        <v>0</v>
      </c>
    </row>
    <row r="64" spans="1:8">
      <c r="A64" s="68" t="s">
        <v>34</v>
      </c>
      <c r="B64" s="6" t="s">
        <v>35</v>
      </c>
      <c r="C64" s="5" t="s">
        <v>230</v>
      </c>
      <c r="D64" s="1">
        <f t="shared" si="3"/>
        <v>337000</v>
      </c>
      <c r="E64" s="5">
        <v>11</v>
      </c>
      <c r="F64" s="1">
        <f t="shared" si="4"/>
        <v>120000</v>
      </c>
      <c r="G64" s="1">
        <f t="shared" si="4"/>
        <v>0</v>
      </c>
      <c r="H64" s="1">
        <f t="shared" si="4"/>
        <v>0</v>
      </c>
    </row>
    <row r="65" spans="1:8">
      <c r="A65" s="69" t="s">
        <v>44</v>
      </c>
      <c r="B65" s="7" t="s">
        <v>45</v>
      </c>
      <c r="C65" s="10" t="s">
        <v>230</v>
      </c>
      <c r="D65" s="8">
        <v>337000</v>
      </c>
      <c r="E65" s="10">
        <v>11</v>
      </c>
      <c r="F65" s="8">
        <v>120000</v>
      </c>
      <c r="G65" s="8">
        <v>0</v>
      </c>
      <c r="H65" s="8"/>
    </row>
  </sheetData>
  <mergeCells count="2">
    <mergeCell ref="A12:H12"/>
    <mergeCell ref="A3:C11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>
    <oddFooter>&amp;CA O P T&amp;R&amp;P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zoomScale="110" zoomScaleNormal="110" zoomScaleSheetLayoutView="100" workbookViewId="0">
      <pane ySplit="12" topLeftCell="A13" activePane="bottomLeft" state="frozen"/>
      <selection pane="bottomLeft" activeCell="F8" sqref="F8:H8"/>
    </sheetView>
  </sheetViews>
  <sheetFormatPr defaultRowHeight="15"/>
  <cols>
    <col min="1" max="1" width="10.7109375" style="66" customWidth="1"/>
    <col min="2" max="2" width="50.7109375" customWidth="1"/>
    <col min="3" max="3" width="5.7109375" customWidth="1"/>
    <col min="4" max="4" width="14.7109375" style="44" customWidth="1"/>
    <col min="5" max="5" width="5.7109375" customWidth="1"/>
    <col min="6" max="7" width="16.7109375" style="44" customWidth="1"/>
    <col min="8" max="8" width="16.7109375" customWidth="1"/>
    <col min="9" max="9" width="13.5703125" customWidth="1"/>
    <col min="10" max="10" width="14.42578125" customWidth="1"/>
    <col min="11" max="11" width="13.140625" customWidth="1"/>
  </cols>
  <sheetData>
    <row r="1" spans="1:11" ht="30" customHeight="1">
      <c r="A1" s="83"/>
      <c r="B1" s="84"/>
      <c r="C1" s="85" t="s">
        <v>220</v>
      </c>
      <c r="D1" s="80" t="s">
        <v>301</v>
      </c>
      <c r="E1" s="85" t="s">
        <v>180</v>
      </c>
      <c r="F1" s="80" t="s">
        <v>398</v>
      </c>
      <c r="G1" s="80" t="s">
        <v>399</v>
      </c>
      <c r="H1" s="316" t="s">
        <v>400</v>
      </c>
    </row>
    <row r="2" spans="1:11" ht="25.5" customHeight="1">
      <c r="A2" s="86" t="s">
        <v>158</v>
      </c>
      <c r="B2" s="87" t="s">
        <v>159</v>
      </c>
      <c r="C2" s="88"/>
      <c r="D2" s="89">
        <f>D13+D57+D65+D76+D87+D98+D109</f>
        <v>12500000</v>
      </c>
      <c r="E2" s="88"/>
      <c r="F2" s="89">
        <f>F13+F57+F65+F76+F87+F98+F109+F114</f>
        <v>16837384</v>
      </c>
      <c r="G2" s="89">
        <f t="shared" ref="G2:H2" si="0">G13+G57+G65+G76+G87+G98+G109+G114</f>
        <v>15537384</v>
      </c>
      <c r="H2" s="89">
        <f t="shared" si="0"/>
        <v>15537384</v>
      </c>
    </row>
    <row r="3" spans="1:11" ht="15" customHeight="1">
      <c r="A3" s="599"/>
      <c r="B3" s="599"/>
      <c r="C3" s="600"/>
      <c r="D3" s="25">
        <f>D13+D57+D65+D76+D87+D98+D109</f>
        <v>12500000</v>
      </c>
      <c r="E3" s="94">
        <v>11</v>
      </c>
      <c r="F3" s="25">
        <f>F13+F57+F65+F76+F87+F98+F109</f>
        <v>15947384</v>
      </c>
      <c r="G3" s="25">
        <f>G13+G57+G65+G76+G87+G98+G109</f>
        <v>15537384</v>
      </c>
      <c r="H3" s="25">
        <f>H13+H57+H65+H76+H87+H98+H109</f>
        <v>15537384</v>
      </c>
      <c r="I3" s="26"/>
      <c r="J3" s="26"/>
      <c r="K3" s="26"/>
    </row>
    <row r="4" spans="1:11">
      <c r="A4" s="601"/>
      <c r="B4" s="601"/>
      <c r="C4" s="602"/>
      <c r="D4" s="25">
        <v>0</v>
      </c>
      <c r="E4" s="24">
        <v>12</v>
      </c>
      <c r="F4" s="25">
        <f>F118</f>
        <v>90000</v>
      </c>
      <c r="G4" s="25">
        <v>0</v>
      </c>
      <c r="H4" s="25">
        <f>H118</f>
        <v>0</v>
      </c>
      <c r="I4" s="44"/>
      <c r="J4" s="44"/>
      <c r="K4" s="44"/>
    </row>
    <row r="5" spans="1:11">
      <c r="A5" s="601"/>
      <c r="B5" s="601"/>
      <c r="C5" s="602"/>
      <c r="D5" s="33">
        <f>D3+D4</f>
        <v>12500000</v>
      </c>
      <c r="E5" s="34" t="s">
        <v>267</v>
      </c>
      <c r="F5" s="33">
        <f>F3+F4</f>
        <v>16037384</v>
      </c>
      <c r="G5" s="33">
        <f>G3+G4</f>
        <v>15537384</v>
      </c>
      <c r="H5" s="33">
        <f>H3+H4</f>
        <v>15537384</v>
      </c>
      <c r="I5" s="44"/>
      <c r="J5" s="44"/>
      <c r="K5" s="44"/>
    </row>
    <row r="6" spans="1:11">
      <c r="A6" s="601"/>
      <c r="B6" s="601"/>
      <c r="C6" s="602"/>
      <c r="D6" s="25">
        <v>0</v>
      </c>
      <c r="E6" s="24" t="s">
        <v>216</v>
      </c>
      <c r="F6" s="25">
        <v>0</v>
      </c>
      <c r="G6" s="25">
        <v>0</v>
      </c>
      <c r="H6" s="25">
        <v>0</v>
      </c>
      <c r="I6" s="44"/>
      <c r="J6" s="44"/>
      <c r="K6" s="44"/>
    </row>
    <row r="7" spans="1:11">
      <c r="A7" s="601"/>
      <c r="B7" s="601"/>
      <c r="C7" s="602"/>
      <c r="D7" s="25">
        <v>0</v>
      </c>
      <c r="E7" s="24" t="s">
        <v>273</v>
      </c>
      <c r="F7" s="25">
        <v>0</v>
      </c>
      <c r="G7" s="25">
        <v>0</v>
      </c>
      <c r="H7" s="25">
        <v>0</v>
      </c>
      <c r="I7" s="44"/>
      <c r="J7" s="44"/>
      <c r="K7" s="44"/>
    </row>
    <row r="8" spans="1:11">
      <c r="A8" s="601"/>
      <c r="B8" s="601"/>
      <c r="C8" s="602"/>
      <c r="D8" s="25">
        <v>0</v>
      </c>
      <c r="E8" s="24" t="s">
        <v>235</v>
      </c>
      <c r="F8" s="25">
        <f>F116</f>
        <v>800000</v>
      </c>
      <c r="G8" s="25">
        <v>0</v>
      </c>
      <c r="H8" s="25">
        <v>0</v>
      </c>
      <c r="I8" s="44"/>
      <c r="J8" s="44"/>
      <c r="K8" s="44"/>
    </row>
    <row r="9" spans="1:11">
      <c r="A9" s="601"/>
      <c r="B9" s="601"/>
      <c r="C9" s="602"/>
      <c r="D9" s="25">
        <v>0</v>
      </c>
      <c r="E9" s="24" t="s">
        <v>265</v>
      </c>
      <c r="F9" s="25">
        <v>0</v>
      </c>
      <c r="G9" s="25">
        <v>0</v>
      </c>
      <c r="H9" s="25">
        <v>0</v>
      </c>
      <c r="I9" s="44"/>
      <c r="J9" s="44"/>
      <c r="K9" s="44"/>
    </row>
    <row r="10" spans="1:11">
      <c r="A10" s="601"/>
      <c r="B10" s="601"/>
      <c r="C10" s="602"/>
      <c r="D10" s="25">
        <v>0</v>
      </c>
      <c r="E10" s="24" t="s">
        <v>234</v>
      </c>
      <c r="F10" s="25">
        <v>0</v>
      </c>
      <c r="G10" s="25">
        <v>0</v>
      </c>
      <c r="H10" s="25">
        <v>0</v>
      </c>
      <c r="I10" s="44"/>
      <c r="J10" s="44"/>
      <c r="K10" s="44"/>
    </row>
    <row r="11" spans="1:11">
      <c r="A11" s="613"/>
      <c r="B11" s="613"/>
      <c r="C11" s="614"/>
      <c r="D11" s="25">
        <v>0</v>
      </c>
      <c r="E11" s="24" t="s">
        <v>292</v>
      </c>
      <c r="F11" s="25">
        <v>0</v>
      </c>
      <c r="G11" s="25">
        <v>0</v>
      </c>
      <c r="H11" s="25">
        <v>0</v>
      </c>
      <c r="I11" s="44"/>
      <c r="J11" s="44"/>
      <c r="K11" s="44"/>
    </row>
    <row r="12" spans="1:11" ht="25.5" customHeight="1">
      <c r="A12" s="609" t="s">
        <v>277</v>
      </c>
      <c r="B12" s="610"/>
      <c r="C12" s="610"/>
      <c r="D12" s="610"/>
      <c r="E12" s="610"/>
      <c r="F12" s="611"/>
      <c r="G12" s="612"/>
      <c r="H12" s="610"/>
    </row>
    <row r="13" spans="1:11">
      <c r="A13" s="73" t="s">
        <v>160</v>
      </c>
      <c r="B13" s="27" t="s">
        <v>299</v>
      </c>
      <c r="C13" s="28"/>
      <c r="D13" s="128">
        <f>D14+D18+D20+D23+D28+D33+D43+D49+D55+D53</f>
        <v>10595000</v>
      </c>
      <c r="E13" s="28" t="s">
        <v>0</v>
      </c>
      <c r="F13" s="414">
        <f>F14+F18+F20+F23+F28+F33+F43+F49+F55+F53</f>
        <v>12252184</v>
      </c>
      <c r="G13" s="414">
        <f>G14+G18+G20+G23+G28+G33+G43+G49+G55+G53</f>
        <v>11592184</v>
      </c>
      <c r="H13" s="414">
        <f>H14+H18+H20+H23+H28+H33+H43+H49+H55+H53</f>
        <v>11652184</v>
      </c>
    </row>
    <row r="14" spans="1:11">
      <c r="A14" s="74" t="s">
        <v>1</v>
      </c>
      <c r="B14" s="20" t="s">
        <v>2</v>
      </c>
      <c r="C14" s="19" t="s">
        <v>227</v>
      </c>
      <c r="D14" s="129">
        <f>D15+D16+D17</f>
        <v>6604275</v>
      </c>
      <c r="E14" s="19" t="s">
        <v>0</v>
      </c>
      <c r="F14" s="415">
        <f>F15+F16+F17</f>
        <v>7631900</v>
      </c>
      <c r="G14" s="415">
        <f>G15+G16+G17</f>
        <v>7631900</v>
      </c>
      <c r="H14" s="415">
        <f>H15+H16+H17</f>
        <v>7631900</v>
      </c>
    </row>
    <row r="15" spans="1:11">
      <c r="A15" s="75" t="s">
        <v>3</v>
      </c>
      <c r="B15" s="21" t="s">
        <v>4</v>
      </c>
      <c r="C15" s="22" t="s">
        <v>227</v>
      </c>
      <c r="D15" s="130">
        <v>6589075</v>
      </c>
      <c r="E15" s="22" t="s">
        <v>0</v>
      </c>
      <c r="F15" s="416">
        <v>7631900</v>
      </c>
      <c r="G15" s="416">
        <v>7631900</v>
      </c>
      <c r="H15" s="416">
        <v>7631900</v>
      </c>
      <c r="K15" s="44"/>
    </row>
    <row r="16" spans="1:11">
      <c r="A16" s="75" t="s">
        <v>149</v>
      </c>
      <c r="B16" s="21" t="s">
        <v>150</v>
      </c>
      <c r="C16" s="22" t="s">
        <v>227</v>
      </c>
      <c r="D16" s="130">
        <v>15200</v>
      </c>
      <c r="E16" s="22" t="s">
        <v>0</v>
      </c>
      <c r="F16" s="416">
        <v>0</v>
      </c>
      <c r="G16" s="416">
        <v>0</v>
      </c>
      <c r="H16" s="416">
        <v>0</v>
      </c>
    </row>
    <row r="17" spans="1:8">
      <c r="A17" s="75" t="s">
        <v>5</v>
      </c>
      <c r="B17" s="21" t="s">
        <v>6</v>
      </c>
      <c r="C17" s="22" t="s">
        <v>227</v>
      </c>
      <c r="D17" s="130">
        <v>0</v>
      </c>
      <c r="E17" s="22" t="s">
        <v>0</v>
      </c>
      <c r="F17" s="416">
        <v>0</v>
      </c>
      <c r="G17" s="416">
        <v>0</v>
      </c>
      <c r="H17" s="416">
        <v>0</v>
      </c>
    </row>
    <row r="18" spans="1:8">
      <c r="A18" s="74" t="s">
        <v>7</v>
      </c>
      <c r="B18" s="20" t="s">
        <v>8</v>
      </c>
      <c r="C18" s="19" t="s">
        <v>227</v>
      </c>
      <c r="D18" s="129">
        <f t="shared" ref="D18" si="1">SUM(D19)</f>
        <v>59225</v>
      </c>
      <c r="E18" s="19" t="s">
        <v>0</v>
      </c>
      <c r="F18" s="415">
        <f t="shared" ref="F18:H18" si="2">SUM(F19)</f>
        <v>170000</v>
      </c>
      <c r="G18" s="415">
        <f t="shared" si="2"/>
        <v>170000</v>
      </c>
      <c r="H18" s="415">
        <f t="shared" si="2"/>
        <v>170000</v>
      </c>
    </row>
    <row r="19" spans="1:8">
      <c r="A19" s="75" t="s">
        <v>9</v>
      </c>
      <c r="B19" s="21" t="s">
        <v>8</v>
      </c>
      <c r="C19" s="22" t="s">
        <v>227</v>
      </c>
      <c r="D19" s="130">
        <v>59225</v>
      </c>
      <c r="E19" s="22" t="s">
        <v>0</v>
      </c>
      <c r="F19" s="416">
        <v>170000</v>
      </c>
      <c r="G19" s="416">
        <v>170000</v>
      </c>
      <c r="H19" s="416">
        <v>170000</v>
      </c>
    </row>
    <row r="20" spans="1:8">
      <c r="A20" s="74" t="s">
        <v>10</v>
      </c>
      <c r="B20" s="20" t="s">
        <v>11</v>
      </c>
      <c r="C20" s="19" t="s">
        <v>227</v>
      </c>
      <c r="D20" s="129">
        <f>D21+D22</f>
        <v>1120000</v>
      </c>
      <c r="E20" s="19" t="s">
        <v>0</v>
      </c>
      <c r="F20" s="415">
        <f>F21+F22</f>
        <v>1355484</v>
      </c>
      <c r="G20" s="415">
        <f>G21+G22</f>
        <v>1355484</v>
      </c>
      <c r="H20" s="415">
        <f>H21+H22</f>
        <v>1355484</v>
      </c>
    </row>
    <row r="21" spans="1:8">
      <c r="A21" s="75" t="s">
        <v>12</v>
      </c>
      <c r="B21" s="21" t="s">
        <v>13</v>
      </c>
      <c r="C21" s="22" t="s">
        <v>227</v>
      </c>
      <c r="D21" s="130">
        <v>1000000</v>
      </c>
      <c r="E21" s="22" t="s">
        <v>0</v>
      </c>
      <c r="F21" s="416">
        <v>1204820</v>
      </c>
      <c r="G21" s="416">
        <v>1204820</v>
      </c>
      <c r="H21" s="416">
        <v>1204820</v>
      </c>
    </row>
    <row r="22" spans="1:8">
      <c r="A22" s="75" t="s">
        <v>14</v>
      </c>
      <c r="B22" s="21" t="s">
        <v>15</v>
      </c>
      <c r="C22" s="22" t="s">
        <v>227</v>
      </c>
      <c r="D22" s="130">
        <v>120000</v>
      </c>
      <c r="E22" s="22" t="s">
        <v>0</v>
      </c>
      <c r="F22" s="416">
        <v>150664</v>
      </c>
      <c r="G22" s="416">
        <v>150664</v>
      </c>
      <c r="H22" s="416">
        <v>150664</v>
      </c>
    </row>
    <row r="23" spans="1:8">
      <c r="A23" s="74" t="s">
        <v>16</v>
      </c>
      <c r="B23" s="20" t="s">
        <v>17</v>
      </c>
      <c r="C23" s="19" t="s">
        <v>227</v>
      </c>
      <c r="D23" s="129">
        <f>D24+D25+D26+D27</f>
        <v>275000</v>
      </c>
      <c r="E23" s="19" t="s">
        <v>0</v>
      </c>
      <c r="F23" s="415">
        <f>F24+F25+F26+F27</f>
        <v>395000</v>
      </c>
      <c r="G23" s="415">
        <f>G24+G25+G26+G27</f>
        <v>395000</v>
      </c>
      <c r="H23" s="415">
        <f>H24+H25+H26+H27</f>
        <v>395000</v>
      </c>
    </row>
    <row r="24" spans="1:8">
      <c r="A24" s="75" t="s">
        <v>18</v>
      </c>
      <c r="B24" s="21" t="s">
        <v>19</v>
      </c>
      <c r="C24" s="22" t="s">
        <v>227</v>
      </c>
      <c r="D24" s="130">
        <v>130000</v>
      </c>
      <c r="E24" s="22" t="s">
        <v>0</v>
      </c>
      <c r="F24" s="416">
        <v>160000</v>
      </c>
      <c r="G24" s="416">
        <v>160000</v>
      </c>
      <c r="H24" s="416">
        <v>160000</v>
      </c>
    </row>
    <row r="25" spans="1:8">
      <c r="A25" s="75" t="s">
        <v>20</v>
      </c>
      <c r="B25" s="21" t="s">
        <v>21</v>
      </c>
      <c r="C25" s="22" t="s">
        <v>227</v>
      </c>
      <c r="D25" s="130">
        <v>130000</v>
      </c>
      <c r="E25" s="22" t="s">
        <v>0</v>
      </c>
      <c r="F25" s="416">
        <v>170000</v>
      </c>
      <c r="G25" s="416">
        <v>170000</v>
      </c>
      <c r="H25" s="416">
        <v>170000</v>
      </c>
    </row>
    <row r="26" spans="1:8">
      <c r="A26" s="75" t="s">
        <v>22</v>
      </c>
      <c r="B26" s="21" t="s">
        <v>23</v>
      </c>
      <c r="C26" s="22" t="s">
        <v>227</v>
      </c>
      <c r="D26" s="130">
        <v>15000</v>
      </c>
      <c r="E26" s="22" t="s">
        <v>0</v>
      </c>
      <c r="F26" s="416">
        <v>65000</v>
      </c>
      <c r="G26" s="416">
        <v>65000</v>
      </c>
      <c r="H26" s="416">
        <v>65000</v>
      </c>
    </row>
    <row r="27" spans="1:8">
      <c r="A27" s="75" t="s">
        <v>161</v>
      </c>
      <c r="B27" s="21" t="s">
        <v>162</v>
      </c>
      <c r="C27" s="22" t="s">
        <v>227</v>
      </c>
      <c r="D27" s="130">
        <v>0</v>
      </c>
      <c r="E27" s="22" t="s">
        <v>0</v>
      </c>
      <c r="F27" s="416">
        <v>0</v>
      </c>
      <c r="G27" s="416">
        <v>0</v>
      </c>
      <c r="H27" s="416">
        <v>0</v>
      </c>
    </row>
    <row r="28" spans="1:8">
      <c r="A28" s="74" t="s">
        <v>24</v>
      </c>
      <c r="B28" s="20" t="s">
        <v>25</v>
      </c>
      <c r="C28" s="19" t="s">
        <v>227</v>
      </c>
      <c r="D28" s="129">
        <f>D29+D30+D31+D32</f>
        <v>343500</v>
      </c>
      <c r="E28" s="19" t="s">
        <v>0</v>
      </c>
      <c r="F28" s="415">
        <f>F29+F30+F31+F32</f>
        <v>345500</v>
      </c>
      <c r="G28" s="415">
        <f>G29+G30+G31+G32</f>
        <v>345500</v>
      </c>
      <c r="H28" s="415">
        <f>H29+H30+H31+H32</f>
        <v>345500</v>
      </c>
    </row>
    <row r="29" spans="1:8">
      <c r="A29" s="75" t="s">
        <v>26</v>
      </c>
      <c r="B29" s="21" t="s">
        <v>27</v>
      </c>
      <c r="C29" s="22" t="s">
        <v>227</v>
      </c>
      <c r="D29" s="130">
        <v>38000</v>
      </c>
      <c r="E29" s="22" t="s">
        <v>0</v>
      </c>
      <c r="F29" s="416">
        <v>40000</v>
      </c>
      <c r="G29" s="416">
        <v>40000</v>
      </c>
      <c r="H29" s="416">
        <v>40000</v>
      </c>
    </row>
    <row r="30" spans="1:8">
      <c r="A30" s="75" t="s">
        <v>28</v>
      </c>
      <c r="B30" s="21" t="s">
        <v>29</v>
      </c>
      <c r="C30" s="22" t="s">
        <v>227</v>
      </c>
      <c r="D30" s="130">
        <v>300000</v>
      </c>
      <c r="E30" s="22" t="s">
        <v>0</v>
      </c>
      <c r="F30" s="416">
        <v>300000</v>
      </c>
      <c r="G30" s="416">
        <v>300000</v>
      </c>
      <c r="H30" s="416">
        <v>300000</v>
      </c>
    </row>
    <row r="31" spans="1:8">
      <c r="A31" s="75" t="s">
        <v>30</v>
      </c>
      <c r="B31" s="21" t="s">
        <v>31</v>
      </c>
      <c r="C31" s="22" t="s">
        <v>227</v>
      </c>
      <c r="D31" s="130">
        <v>500</v>
      </c>
      <c r="E31" s="22" t="s">
        <v>0</v>
      </c>
      <c r="F31" s="416">
        <v>500</v>
      </c>
      <c r="G31" s="416">
        <v>500</v>
      </c>
      <c r="H31" s="416">
        <v>500</v>
      </c>
    </row>
    <row r="32" spans="1:8">
      <c r="A32" s="75" t="s">
        <v>32</v>
      </c>
      <c r="B32" s="21" t="s">
        <v>33</v>
      </c>
      <c r="C32" s="22" t="s">
        <v>227</v>
      </c>
      <c r="D32" s="130">
        <v>5000</v>
      </c>
      <c r="E32" s="22" t="s">
        <v>0</v>
      </c>
      <c r="F32" s="416">
        <v>5000</v>
      </c>
      <c r="G32" s="416">
        <v>5000</v>
      </c>
      <c r="H32" s="416">
        <v>5000</v>
      </c>
    </row>
    <row r="33" spans="1:8">
      <c r="A33" s="74" t="s">
        <v>34</v>
      </c>
      <c r="B33" s="20" t="s">
        <v>35</v>
      </c>
      <c r="C33" s="19" t="s">
        <v>227</v>
      </c>
      <c r="D33" s="129">
        <f>D34+D35+D36+D37+D38+D39+D40+D41+D42</f>
        <v>1910000</v>
      </c>
      <c r="E33" s="19" t="s">
        <v>0</v>
      </c>
      <c r="F33" s="415">
        <f>F34+F35+F36+F37+F38+F39+F40+F41+F42</f>
        <v>1565000</v>
      </c>
      <c r="G33" s="415">
        <f>G34+G35+G36+G37+G38+G39+G40+G41+G42</f>
        <v>1405000</v>
      </c>
      <c r="H33" s="415">
        <f>H34+H35+H36+H37+H38+H39+H40+H41+H42</f>
        <v>1465000</v>
      </c>
    </row>
    <row r="34" spans="1:8">
      <c r="A34" s="75" t="s">
        <v>36</v>
      </c>
      <c r="B34" s="21" t="s">
        <v>37</v>
      </c>
      <c r="C34" s="22" t="s">
        <v>227</v>
      </c>
      <c r="D34" s="130">
        <v>225000</v>
      </c>
      <c r="E34" s="22" t="s">
        <v>0</v>
      </c>
      <c r="F34" s="416">
        <v>200000</v>
      </c>
      <c r="G34" s="416">
        <v>200000</v>
      </c>
      <c r="H34" s="416">
        <v>200000</v>
      </c>
    </row>
    <row r="35" spans="1:8">
      <c r="A35" s="75" t="s">
        <v>38</v>
      </c>
      <c r="B35" s="21" t="s">
        <v>39</v>
      </c>
      <c r="C35" s="22" t="s">
        <v>227</v>
      </c>
      <c r="D35" s="130">
        <v>300000</v>
      </c>
      <c r="E35" s="22" t="s">
        <v>0</v>
      </c>
      <c r="F35" s="416">
        <v>300000</v>
      </c>
      <c r="G35" s="416">
        <v>200000</v>
      </c>
      <c r="H35" s="416">
        <v>200000</v>
      </c>
    </row>
    <row r="36" spans="1:8">
      <c r="A36" s="75" t="s">
        <v>40</v>
      </c>
      <c r="B36" s="21" t="s">
        <v>41</v>
      </c>
      <c r="C36" s="22" t="s">
        <v>227</v>
      </c>
      <c r="D36" s="130">
        <v>250000</v>
      </c>
      <c r="E36" s="22" t="s">
        <v>0</v>
      </c>
      <c r="F36" s="416">
        <v>150000</v>
      </c>
      <c r="G36" s="416">
        <v>150000</v>
      </c>
      <c r="H36" s="416">
        <v>150000</v>
      </c>
    </row>
    <row r="37" spans="1:8">
      <c r="A37" s="75" t="s">
        <v>42</v>
      </c>
      <c r="B37" s="21" t="s">
        <v>43</v>
      </c>
      <c r="C37" s="22" t="s">
        <v>227</v>
      </c>
      <c r="D37" s="130">
        <v>130000</v>
      </c>
      <c r="E37" s="22" t="s">
        <v>0</v>
      </c>
      <c r="F37" s="416">
        <v>60000</v>
      </c>
      <c r="G37" s="416">
        <v>60000</v>
      </c>
      <c r="H37" s="416">
        <v>60000</v>
      </c>
    </row>
    <row r="38" spans="1:8">
      <c r="A38" s="75" t="s">
        <v>44</v>
      </c>
      <c r="B38" s="21" t="s">
        <v>45</v>
      </c>
      <c r="C38" s="22" t="s">
        <v>227</v>
      </c>
      <c r="D38" s="130">
        <v>660000</v>
      </c>
      <c r="E38" s="22" t="s">
        <v>0</v>
      </c>
      <c r="F38" s="416">
        <v>450000</v>
      </c>
      <c r="G38" s="416">
        <v>450000</v>
      </c>
      <c r="H38" s="416">
        <v>450000</v>
      </c>
    </row>
    <row r="39" spans="1:8">
      <c r="A39" s="75" t="s">
        <v>46</v>
      </c>
      <c r="B39" s="21" t="s">
        <v>47</v>
      </c>
      <c r="C39" s="22" t="s">
        <v>227</v>
      </c>
      <c r="D39" s="130">
        <v>0</v>
      </c>
      <c r="E39" s="22" t="s">
        <v>0</v>
      </c>
      <c r="F39" s="416">
        <v>60000</v>
      </c>
      <c r="G39" s="416">
        <v>0</v>
      </c>
      <c r="H39" s="416">
        <v>60000</v>
      </c>
    </row>
    <row r="40" spans="1:8">
      <c r="A40" s="75" t="s">
        <v>48</v>
      </c>
      <c r="B40" s="21" t="s">
        <v>49</v>
      </c>
      <c r="C40" s="22" t="s">
        <v>227</v>
      </c>
      <c r="D40" s="130">
        <v>65000</v>
      </c>
      <c r="E40" s="22" t="s">
        <v>0</v>
      </c>
      <c r="F40" s="416">
        <v>65000</v>
      </c>
      <c r="G40" s="416">
        <v>65000</v>
      </c>
      <c r="H40" s="416">
        <v>65000</v>
      </c>
    </row>
    <row r="41" spans="1:8">
      <c r="A41" s="75" t="s">
        <v>50</v>
      </c>
      <c r="B41" s="21" t="s">
        <v>51</v>
      </c>
      <c r="C41" s="22" t="s">
        <v>227</v>
      </c>
      <c r="D41" s="130">
        <v>40000</v>
      </c>
      <c r="E41" s="22" t="s">
        <v>0</v>
      </c>
      <c r="F41" s="416">
        <v>40000</v>
      </c>
      <c r="G41" s="416">
        <v>40000</v>
      </c>
      <c r="H41" s="416">
        <v>40000</v>
      </c>
    </row>
    <row r="42" spans="1:8">
      <c r="A42" s="75" t="s">
        <v>52</v>
      </c>
      <c r="B42" s="21" t="s">
        <v>53</v>
      </c>
      <c r="C42" s="22" t="s">
        <v>227</v>
      </c>
      <c r="D42" s="130">
        <v>240000</v>
      </c>
      <c r="E42" s="22" t="s">
        <v>0</v>
      </c>
      <c r="F42" s="416">
        <v>240000</v>
      </c>
      <c r="G42" s="416">
        <v>240000</v>
      </c>
      <c r="H42" s="416">
        <v>240000</v>
      </c>
    </row>
    <row r="43" spans="1:8">
      <c r="A43" s="74" t="s">
        <v>57</v>
      </c>
      <c r="B43" s="20" t="s">
        <v>58</v>
      </c>
      <c r="C43" s="19" t="s">
        <v>227</v>
      </c>
      <c r="D43" s="129">
        <f>D44+D45+D46+D47+D48</f>
        <v>67400</v>
      </c>
      <c r="E43" s="19" t="s">
        <v>0</v>
      </c>
      <c r="F43" s="415">
        <f>F44+F45+F46+F47+F48</f>
        <v>74000</v>
      </c>
      <c r="G43" s="415">
        <f>G44+G45+G46+G47+G48</f>
        <v>74000</v>
      </c>
      <c r="H43" s="415">
        <f>H44+H45+H46+H47+H48</f>
        <v>74000</v>
      </c>
    </row>
    <row r="44" spans="1:8">
      <c r="A44" s="75" t="s">
        <v>61</v>
      </c>
      <c r="B44" s="21" t="s">
        <v>62</v>
      </c>
      <c r="C44" s="22" t="s">
        <v>227</v>
      </c>
      <c r="D44" s="130">
        <v>6400</v>
      </c>
      <c r="E44" s="22" t="s">
        <v>0</v>
      </c>
      <c r="F44" s="416">
        <v>4000</v>
      </c>
      <c r="G44" s="416">
        <v>4000</v>
      </c>
      <c r="H44" s="416">
        <v>4000</v>
      </c>
    </row>
    <row r="45" spans="1:8">
      <c r="A45" s="75" t="s">
        <v>63</v>
      </c>
      <c r="B45" s="21" t="s">
        <v>64</v>
      </c>
      <c r="C45" s="22" t="s">
        <v>227</v>
      </c>
      <c r="D45" s="130">
        <v>25000</v>
      </c>
      <c r="E45" s="22" t="s">
        <v>0</v>
      </c>
      <c r="F45" s="416">
        <v>25000</v>
      </c>
      <c r="G45" s="416">
        <v>25000</v>
      </c>
      <c r="H45" s="416">
        <v>25000</v>
      </c>
    </row>
    <row r="46" spans="1:8">
      <c r="A46" s="75" t="s">
        <v>65</v>
      </c>
      <c r="B46" s="21" t="s">
        <v>66</v>
      </c>
      <c r="C46" s="22" t="s">
        <v>227</v>
      </c>
      <c r="D46" s="130">
        <v>1000</v>
      </c>
      <c r="E46" s="22" t="s">
        <v>0</v>
      </c>
      <c r="F46" s="416">
        <v>10000</v>
      </c>
      <c r="G46" s="416">
        <v>10000</v>
      </c>
      <c r="H46" s="416">
        <v>10000</v>
      </c>
    </row>
    <row r="47" spans="1:8">
      <c r="A47" s="75" t="s">
        <v>67</v>
      </c>
      <c r="B47" s="21" t="s">
        <v>68</v>
      </c>
      <c r="C47" s="22" t="s">
        <v>227</v>
      </c>
      <c r="D47" s="130">
        <v>25000</v>
      </c>
      <c r="E47" s="22" t="s">
        <v>0</v>
      </c>
      <c r="F47" s="416">
        <v>25000</v>
      </c>
      <c r="G47" s="416">
        <v>25000</v>
      </c>
      <c r="H47" s="416">
        <v>25000</v>
      </c>
    </row>
    <row r="48" spans="1:8">
      <c r="A48" s="75" t="s">
        <v>69</v>
      </c>
      <c r="B48" s="21" t="s">
        <v>58</v>
      </c>
      <c r="C48" s="22" t="s">
        <v>227</v>
      </c>
      <c r="D48" s="130">
        <v>10000</v>
      </c>
      <c r="E48" s="22" t="s">
        <v>0</v>
      </c>
      <c r="F48" s="416">
        <v>10000</v>
      </c>
      <c r="G48" s="416">
        <v>10000</v>
      </c>
      <c r="H48" s="416">
        <v>10000</v>
      </c>
    </row>
    <row r="49" spans="1:8">
      <c r="A49" s="74" t="s">
        <v>70</v>
      </c>
      <c r="B49" s="20" t="s">
        <v>71</v>
      </c>
      <c r="C49" s="19" t="s">
        <v>227</v>
      </c>
      <c r="D49" s="129">
        <f>D50+D51+D52</f>
        <v>600</v>
      </c>
      <c r="E49" s="19" t="s">
        <v>0</v>
      </c>
      <c r="F49" s="415">
        <f>F50+F51+F52</f>
        <v>300</v>
      </c>
      <c r="G49" s="415">
        <f>G50+G51+G52</f>
        <v>300</v>
      </c>
      <c r="H49" s="415">
        <f>H50+H51+H52</f>
        <v>300</v>
      </c>
    </row>
    <row r="50" spans="1:8">
      <c r="A50" s="75" t="s">
        <v>72</v>
      </c>
      <c r="B50" s="21" t="s">
        <v>73</v>
      </c>
      <c r="C50" s="22" t="s">
        <v>227</v>
      </c>
      <c r="D50" s="130">
        <v>200</v>
      </c>
      <c r="E50" s="22" t="s">
        <v>0</v>
      </c>
      <c r="F50" s="416">
        <v>100</v>
      </c>
      <c r="G50" s="416">
        <v>100</v>
      </c>
      <c r="H50" s="416">
        <v>100</v>
      </c>
    </row>
    <row r="51" spans="1:8">
      <c r="A51" s="75" t="s">
        <v>74</v>
      </c>
      <c r="B51" s="21" t="s">
        <v>75</v>
      </c>
      <c r="C51" s="22" t="s">
        <v>227</v>
      </c>
      <c r="D51" s="130">
        <v>200</v>
      </c>
      <c r="E51" s="22" t="s">
        <v>0</v>
      </c>
      <c r="F51" s="416">
        <v>100</v>
      </c>
      <c r="G51" s="416">
        <v>100</v>
      </c>
      <c r="H51" s="416">
        <v>100</v>
      </c>
    </row>
    <row r="52" spans="1:8">
      <c r="A52" s="75" t="s">
        <v>76</v>
      </c>
      <c r="B52" s="21" t="s">
        <v>77</v>
      </c>
      <c r="C52" s="22" t="s">
        <v>227</v>
      </c>
      <c r="D52" s="130">
        <v>200</v>
      </c>
      <c r="E52" s="22" t="s">
        <v>0</v>
      </c>
      <c r="F52" s="416">
        <v>100</v>
      </c>
      <c r="G52" s="416">
        <v>100</v>
      </c>
      <c r="H52" s="416">
        <v>100</v>
      </c>
    </row>
    <row r="53" spans="1:8">
      <c r="A53" s="74" t="s">
        <v>173</v>
      </c>
      <c r="B53" s="20" t="s">
        <v>294</v>
      </c>
      <c r="C53" s="19" t="s">
        <v>227</v>
      </c>
      <c r="D53" s="129">
        <f>D54</f>
        <v>15000</v>
      </c>
      <c r="E53" s="19" t="s">
        <v>0</v>
      </c>
      <c r="F53" s="415">
        <f>F54</f>
        <v>15000</v>
      </c>
      <c r="G53" s="415">
        <f>G54</f>
        <v>15000</v>
      </c>
      <c r="H53" s="415">
        <f>H54</f>
        <v>15000</v>
      </c>
    </row>
    <row r="54" spans="1:8">
      <c r="A54" s="75">
        <v>3721</v>
      </c>
      <c r="B54" s="21" t="s">
        <v>81</v>
      </c>
      <c r="C54" s="22" t="s">
        <v>227</v>
      </c>
      <c r="D54" s="130">
        <v>15000</v>
      </c>
      <c r="E54" s="22" t="s">
        <v>0</v>
      </c>
      <c r="F54" s="416">
        <v>15000</v>
      </c>
      <c r="G54" s="416">
        <v>15000</v>
      </c>
      <c r="H54" s="416">
        <v>15000</v>
      </c>
    </row>
    <row r="55" spans="1:8">
      <c r="A55" s="74" t="s">
        <v>78</v>
      </c>
      <c r="B55" s="20" t="s">
        <v>79</v>
      </c>
      <c r="C55" s="19" t="s">
        <v>227</v>
      </c>
      <c r="D55" s="129">
        <f>D56</f>
        <v>200000</v>
      </c>
      <c r="E55" s="19" t="s">
        <v>0</v>
      </c>
      <c r="F55" s="415">
        <f>F56</f>
        <v>700000</v>
      </c>
      <c r="G55" s="415">
        <f>G56</f>
        <v>200000</v>
      </c>
      <c r="H55" s="415">
        <f>H56</f>
        <v>200000</v>
      </c>
    </row>
    <row r="56" spans="1:8">
      <c r="A56" s="75" t="s">
        <v>80</v>
      </c>
      <c r="B56" s="21" t="s">
        <v>81</v>
      </c>
      <c r="C56" s="22" t="s">
        <v>227</v>
      </c>
      <c r="D56" s="130">
        <v>200000</v>
      </c>
      <c r="E56" s="22" t="s">
        <v>0</v>
      </c>
      <c r="F56" s="416">
        <v>700000</v>
      </c>
      <c r="G56" s="416">
        <v>200000</v>
      </c>
      <c r="H56" s="416">
        <v>200000</v>
      </c>
    </row>
    <row r="57" spans="1:8">
      <c r="A57" s="73" t="s">
        <v>163</v>
      </c>
      <c r="B57" s="27" t="s">
        <v>164</v>
      </c>
      <c r="C57" s="28" t="s">
        <v>227</v>
      </c>
      <c r="D57" s="128">
        <f>D58+D62</f>
        <v>170000</v>
      </c>
      <c r="E57" s="28" t="s">
        <v>0</v>
      </c>
      <c r="F57" s="414">
        <f>F58+F62</f>
        <v>85000</v>
      </c>
      <c r="G57" s="414">
        <f>G58+G62</f>
        <v>85000</v>
      </c>
      <c r="H57" s="414">
        <f>H58+H62</f>
        <v>90000</v>
      </c>
    </row>
    <row r="58" spans="1:8">
      <c r="A58" s="74" t="s">
        <v>34</v>
      </c>
      <c r="B58" s="20" t="s">
        <v>35</v>
      </c>
      <c r="C58" s="19" t="s">
        <v>227</v>
      </c>
      <c r="D58" s="129">
        <f>D59+D60+D61</f>
        <v>150000</v>
      </c>
      <c r="E58" s="19" t="s">
        <v>0</v>
      </c>
      <c r="F58" s="415">
        <f>F59+F60+F61</f>
        <v>65000</v>
      </c>
      <c r="G58" s="415">
        <f>G59+G60+G61</f>
        <v>65000</v>
      </c>
      <c r="H58" s="415">
        <f>H59+H60+H61</f>
        <v>70000</v>
      </c>
    </row>
    <row r="59" spans="1:8">
      <c r="A59" s="75" t="s">
        <v>40</v>
      </c>
      <c r="B59" s="21" t="s">
        <v>41</v>
      </c>
      <c r="C59" s="22" t="s">
        <v>227</v>
      </c>
      <c r="D59" s="130">
        <v>135000</v>
      </c>
      <c r="E59" s="22" t="s">
        <v>0</v>
      </c>
      <c r="F59" s="416">
        <v>50000</v>
      </c>
      <c r="G59" s="416">
        <v>50000</v>
      </c>
      <c r="H59" s="416">
        <v>50000</v>
      </c>
    </row>
    <row r="60" spans="1:8">
      <c r="A60" s="75" t="s">
        <v>48</v>
      </c>
      <c r="B60" s="21" t="s">
        <v>49</v>
      </c>
      <c r="C60" s="22" t="s">
        <v>227</v>
      </c>
      <c r="D60" s="130">
        <v>5000</v>
      </c>
      <c r="E60" s="22" t="s">
        <v>0</v>
      </c>
      <c r="F60" s="416">
        <v>5000</v>
      </c>
      <c r="G60" s="416">
        <v>5000</v>
      </c>
      <c r="H60" s="416">
        <v>10000</v>
      </c>
    </row>
    <row r="61" spans="1:8">
      <c r="A61" s="75" t="s">
        <v>52</v>
      </c>
      <c r="B61" s="21" t="s">
        <v>53</v>
      </c>
      <c r="C61" s="22" t="s">
        <v>227</v>
      </c>
      <c r="D61" s="130">
        <v>10000</v>
      </c>
      <c r="E61" s="22" t="s">
        <v>0</v>
      </c>
      <c r="F61" s="416">
        <v>10000</v>
      </c>
      <c r="G61" s="416">
        <v>10000</v>
      </c>
      <c r="H61" s="416">
        <v>10000</v>
      </c>
    </row>
    <row r="62" spans="1:8">
      <c r="A62" s="74" t="s">
        <v>57</v>
      </c>
      <c r="B62" s="20" t="s">
        <v>58</v>
      </c>
      <c r="C62" s="19" t="s">
        <v>227</v>
      </c>
      <c r="D62" s="129">
        <f>D63+D64</f>
        <v>20000</v>
      </c>
      <c r="E62" s="19" t="s">
        <v>0</v>
      </c>
      <c r="F62" s="415">
        <f>F63+F64</f>
        <v>20000</v>
      </c>
      <c r="G62" s="415">
        <f>G63+G64</f>
        <v>20000</v>
      </c>
      <c r="H62" s="415">
        <f>H63+H64</f>
        <v>20000</v>
      </c>
    </row>
    <row r="63" spans="1:8">
      <c r="A63" s="75" t="s">
        <v>63</v>
      </c>
      <c r="B63" s="21" t="s">
        <v>64</v>
      </c>
      <c r="C63" s="22" t="s">
        <v>227</v>
      </c>
      <c r="D63" s="130">
        <v>10000</v>
      </c>
      <c r="E63" s="22" t="s">
        <v>0</v>
      </c>
      <c r="F63" s="416">
        <v>10000</v>
      </c>
      <c r="G63" s="416">
        <v>10000</v>
      </c>
      <c r="H63" s="416">
        <v>10000</v>
      </c>
    </row>
    <row r="64" spans="1:8">
      <c r="A64" s="75" t="s">
        <v>69</v>
      </c>
      <c r="B64" s="21" t="s">
        <v>58</v>
      </c>
      <c r="C64" s="22" t="s">
        <v>227</v>
      </c>
      <c r="D64" s="130">
        <v>10000</v>
      </c>
      <c r="E64" s="22" t="s">
        <v>0</v>
      </c>
      <c r="F64" s="416">
        <v>10000</v>
      </c>
      <c r="G64" s="416">
        <v>10000</v>
      </c>
      <c r="H64" s="416">
        <v>10000</v>
      </c>
    </row>
    <row r="65" spans="1:8">
      <c r="A65" s="73" t="s">
        <v>165</v>
      </c>
      <c r="B65" s="27" t="s">
        <v>166</v>
      </c>
      <c r="C65" s="28" t="s">
        <v>227</v>
      </c>
      <c r="D65" s="128">
        <f>D66+D69+D73</f>
        <v>735000</v>
      </c>
      <c r="E65" s="28" t="s">
        <v>0</v>
      </c>
      <c r="F65" s="414">
        <f>F66+F69+F73</f>
        <v>2887200</v>
      </c>
      <c r="G65" s="414">
        <f>G66+G69+G73</f>
        <v>3137200</v>
      </c>
      <c r="H65" s="414">
        <f>H66+H69+H73</f>
        <v>3072200</v>
      </c>
    </row>
    <row r="66" spans="1:8">
      <c r="A66" s="74" t="s">
        <v>16</v>
      </c>
      <c r="B66" s="20" t="s">
        <v>17</v>
      </c>
      <c r="C66" s="19" t="s">
        <v>227</v>
      </c>
      <c r="D66" s="129">
        <f>D67+D68</f>
        <v>185000</v>
      </c>
      <c r="E66" s="19" t="s">
        <v>0</v>
      </c>
      <c r="F66" s="415">
        <f>F67+F68</f>
        <v>190000</v>
      </c>
      <c r="G66" s="415">
        <f>G67+G68</f>
        <v>190000</v>
      </c>
      <c r="H66" s="415">
        <f>H67+H68</f>
        <v>190000</v>
      </c>
    </row>
    <row r="67" spans="1:8">
      <c r="A67" s="75" t="s">
        <v>18</v>
      </c>
      <c r="B67" s="21" t="s">
        <v>19</v>
      </c>
      <c r="C67" s="22" t="s">
        <v>227</v>
      </c>
      <c r="D67" s="130">
        <v>180000</v>
      </c>
      <c r="E67" s="22" t="s">
        <v>0</v>
      </c>
      <c r="F67" s="416">
        <v>180000</v>
      </c>
      <c r="G67" s="416">
        <v>180000</v>
      </c>
      <c r="H67" s="416">
        <v>180000</v>
      </c>
    </row>
    <row r="68" spans="1:8">
      <c r="A68" s="75" t="s">
        <v>22</v>
      </c>
      <c r="B68" s="21" t="s">
        <v>23</v>
      </c>
      <c r="C68" s="22" t="s">
        <v>227</v>
      </c>
      <c r="D68" s="130">
        <v>5000</v>
      </c>
      <c r="E68" s="22" t="s">
        <v>0</v>
      </c>
      <c r="F68" s="416">
        <v>10000</v>
      </c>
      <c r="G68" s="416">
        <v>10000</v>
      </c>
      <c r="H68" s="416">
        <v>10000</v>
      </c>
    </row>
    <row r="69" spans="1:8">
      <c r="A69" s="74" t="s">
        <v>34</v>
      </c>
      <c r="B69" s="20" t="s">
        <v>35</v>
      </c>
      <c r="C69" s="19" t="s">
        <v>227</v>
      </c>
      <c r="D69" s="129">
        <f>D70+D71+D72</f>
        <v>530000</v>
      </c>
      <c r="E69" s="19" t="s">
        <v>0</v>
      </c>
      <c r="F69" s="415">
        <f>F70+F71+F72</f>
        <v>2677200</v>
      </c>
      <c r="G69" s="415">
        <f>G70+G71+G72</f>
        <v>2927200</v>
      </c>
      <c r="H69" s="415">
        <f>H70+H71+H72</f>
        <v>2862200</v>
      </c>
    </row>
    <row r="70" spans="1:8">
      <c r="A70" s="75" t="s">
        <v>40</v>
      </c>
      <c r="B70" s="21" t="s">
        <v>41</v>
      </c>
      <c r="C70" s="22" t="s">
        <v>227</v>
      </c>
      <c r="D70" s="130">
        <v>505000</v>
      </c>
      <c r="E70" s="22" t="s">
        <v>0</v>
      </c>
      <c r="F70" s="416">
        <v>2652200</v>
      </c>
      <c r="G70" s="416">
        <v>2902200</v>
      </c>
      <c r="H70" s="416">
        <v>2837200</v>
      </c>
    </row>
    <row r="71" spans="1:8">
      <c r="A71" s="75" t="s">
        <v>48</v>
      </c>
      <c r="B71" s="21" t="s">
        <v>49</v>
      </c>
      <c r="C71" s="22" t="s">
        <v>227</v>
      </c>
      <c r="D71" s="130">
        <v>10000</v>
      </c>
      <c r="E71" s="22" t="s">
        <v>0</v>
      </c>
      <c r="F71" s="416">
        <v>10000</v>
      </c>
      <c r="G71" s="416">
        <v>10000</v>
      </c>
      <c r="H71" s="416">
        <v>10000</v>
      </c>
    </row>
    <row r="72" spans="1:8">
      <c r="A72" s="75" t="s">
        <v>52</v>
      </c>
      <c r="B72" s="21" t="s">
        <v>53</v>
      </c>
      <c r="C72" s="22" t="s">
        <v>227</v>
      </c>
      <c r="D72" s="130">
        <v>15000</v>
      </c>
      <c r="E72" s="22" t="s">
        <v>0</v>
      </c>
      <c r="F72" s="416">
        <v>15000</v>
      </c>
      <c r="G72" s="416">
        <v>15000</v>
      </c>
      <c r="H72" s="416">
        <v>15000</v>
      </c>
    </row>
    <row r="73" spans="1:8">
      <c r="A73" s="74" t="s">
        <v>57</v>
      </c>
      <c r="B73" s="20" t="s">
        <v>58</v>
      </c>
      <c r="C73" s="19" t="s">
        <v>227</v>
      </c>
      <c r="D73" s="129">
        <f>D74+D75</f>
        <v>20000</v>
      </c>
      <c r="E73" s="19" t="s">
        <v>0</v>
      </c>
      <c r="F73" s="415">
        <f>F74+F75</f>
        <v>20000</v>
      </c>
      <c r="G73" s="415">
        <f>G74+G75</f>
        <v>20000</v>
      </c>
      <c r="H73" s="415">
        <f>H74+H75</f>
        <v>20000</v>
      </c>
    </row>
    <row r="74" spans="1:8">
      <c r="A74" s="75" t="s">
        <v>63</v>
      </c>
      <c r="B74" s="21" t="s">
        <v>64</v>
      </c>
      <c r="C74" s="22" t="s">
        <v>227</v>
      </c>
      <c r="D74" s="130">
        <v>10000</v>
      </c>
      <c r="E74" s="22" t="s">
        <v>0</v>
      </c>
      <c r="F74" s="416">
        <v>10000</v>
      </c>
      <c r="G74" s="416">
        <v>10000</v>
      </c>
      <c r="H74" s="416">
        <v>10000</v>
      </c>
    </row>
    <row r="75" spans="1:8">
      <c r="A75" s="75" t="s">
        <v>69</v>
      </c>
      <c r="B75" s="21" t="s">
        <v>58</v>
      </c>
      <c r="C75" s="22" t="s">
        <v>227</v>
      </c>
      <c r="D75" s="130">
        <v>10000</v>
      </c>
      <c r="E75" s="22" t="s">
        <v>0</v>
      </c>
      <c r="F75" s="416">
        <v>10000</v>
      </c>
      <c r="G75" s="416">
        <v>10000</v>
      </c>
      <c r="H75" s="416">
        <v>10000</v>
      </c>
    </row>
    <row r="76" spans="1:8">
      <c r="A76" s="73" t="s">
        <v>167</v>
      </c>
      <c r="B76" s="27" t="s">
        <v>168</v>
      </c>
      <c r="C76" s="28" t="s">
        <v>227</v>
      </c>
      <c r="D76" s="128">
        <f>D77+D80+D84</f>
        <v>300000</v>
      </c>
      <c r="E76" s="28" t="s">
        <v>0</v>
      </c>
      <c r="F76" s="414">
        <f>F77+F80+F84</f>
        <v>285000</v>
      </c>
      <c r="G76" s="414">
        <f>G77+G80+G84</f>
        <v>285000</v>
      </c>
      <c r="H76" s="414">
        <f>H77+H80+H84</f>
        <v>285000</v>
      </c>
    </row>
    <row r="77" spans="1:8">
      <c r="A77" s="74" t="s">
        <v>16</v>
      </c>
      <c r="B77" s="20" t="s">
        <v>17</v>
      </c>
      <c r="C77" s="19" t="s">
        <v>227</v>
      </c>
      <c r="D77" s="129">
        <f>D78+D79</f>
        <v>185000</v>
      </c>
      <c r="E77" s="19" t="s">
        <v>0</v>
      </c>
      <c r="F77" s="415">
        <f>F78+F79</f>
        <v>190000</v>
      </c>
      <c r="G77" s="415">
        <f>G78+G79</f>
        <v>190000</v>
      </c>
      <c r="H77" s="415">
        <f>H78+H79</f>
        <v>190000</v>
      </c>
    </row>
    <row r="78" spans="1:8">
      <c r="A78" s="75" t="s">
        <v>18</v>
      </c>
      <c r="B78" s="21" t="s">
        <v>19</v>
      </c>
      <c r="C78" s="22" t="s">
        <v>227</v>
      </c>
      <c r="D78" s="130">
        <v>180000</v>
      </c>
      <c r="E78" s="22" t="s">
        <v>0</v>
      </c>
      <c r="F78" s="416">
        <v>180000</v>
      </c>
      <c r="G78" s="416">
        <v>180000</v>
      </c>
      <c r="H78" s="416">
        <v>180000</v>
      </c>
    </row>
    <row r="79" spans="1:8">
      <c r="A79" s="75" t="s">
        <v>22</v>
      </c>
      <c r="B79" s="21" t="s">
        <v>23</v>
      </c>
      <c r="C79" s="22" t="s">
        <v>227</v>
      </c>
      <c r="D79" s="130">
        <v>5000</v>
      </c>
      <c r="E79" s="22" t="s">
        <v>0</v>
      </c>
      <c r="F79" s="416">
        <v>10000</v>
      </c>
      <c r="G79" s="416">
        <v>10000</v>
      </c>
      <c r="H79" s="416">
        <v>10000</v>
      </c>
    </row>
    <row r="80" spans="1:8">
      <c r="A80" s="74" t="s">
        <v>34</v>
      </c>
      <c r="B80" s="20" t="s">
        <v>35</v>
      </c>
      <c r="C80" s="19" t="s">
        <v>227</v>
      </c>
      <c r="D80" s="129">
        <f>D81+D82+D83</f>
        <v>95000</v>
      </c>
      <c r="E80" s="19" t="s">
        <v>0</v>
      </c>
      <c r="F80" s="415">
        <f>F81+F82+F83</f>
        <v>75000</v>
      </c>
      <c r="G80" s="415">
        <f>G81+G82+G83</f>
        <v>75000</v>
      </c>
      <c r="H80" s="415">
        <f>H81+H82+H83</f>
        <v>75000</v>
      </c>
    </row>
    <row r="81" spans="1:8">
      <c r="A81" s="75" t="s">
        <v>40</v>
      </c>
      <c r="B81" s="21" t="s">
        <v>41</v>
      </c>
      <c r="C81" s="22" t="s">
        <v>227</v>
      </c>
      <c r="D81" s="130">
        <v>70000</v>
      </c>
      <c r="E81" s="22" t="s">
        <v>0</v>
      </c>
      <c r="F81" s="416">
        <v>50000</v>
      </c>
      <c r="G81" s="416">
        <v>50000</v>
      </c>
      <c r="H81" s="416">
        <v>50000</v>
      </c>
    </row>
    <row r="82" spans="1:8">
      <c r="A82" s="75" t="s">
        <v>48</v>
      </c>
      <c r="B82" s="21" t="s">
        <v>49</v>
      </c>
      <c r="C82" s="22" t="s">
        <v>227</v>
      </c>
      <c r="D82" s="130">
        <v>10000</v>
      </c>
      <c r="E82" s="22" t="s">
        <v>0</v>
      </c>
      <c r="F82" s="416">
        <v>10000</v>
      </c>
      <c r="G82" s="416">
        <v>10000</v>
      </c>
      <c r="H82" s="416">
        <v>10000</v>
      </c>
    </row>
    <row r="83" spans="1:8">
      <c r="A83" s="75" t="s">
        <v>52</v>
      </c>
      <c r="B83" s="21" t="s">
        <v>53</v>
      </c>
      <c r="C83" s="22" t="s">
        <v>227</v>
      </c>
      <c r="D83" s="130">
        <v>15000</v>
      </c>
      <c r="E83" s="22" t="s">
        <v>0</v>
      </c>
      <c r="F83" s="416">
        <v>15000</v>
      </c>
      <c r="G83" s="416">
        <v>15000</v>
      </c>
      <c r="H83" s="416">
        <v>15000</v>
      </c>
    </row>
    <row r="84" spans="1:8">
      <c r="A84" s="74" t="s">
        <v>57</v>
      </c>
      <c r="B84" s="20" t="s">
        <v>58</v>
      </c>
      <c r="C84" s="19" t="s">
        <v>227</v>
      </c>
      <c r="D84" s="129">
        <f>D85+D86</f>
        <v>20000</v>
      </c>
      <c r="E84" s="19" t="s">
        <v>0</v>
      </c>
      <c r="F84" s="415">
        <f>F85+F86</f>
        <v>20000</v>
      </c>
      <c r="G84" s="415">
        <f>G85+G86</f>
        <v>20000</v>
      </c>
      <c r="H84" s="415">
        <f>H85+H86</f>
        <v>20000</v>
      </c>
    </row>
    <row r="85" spans="1:8">
      <c r="A85" s="75" t="s">
        <v>63</v>
      </c>
      <c r="B85" s="21" t="s">
        <v>64</v>
      </c>
      <c r="C85" s="22" t="s">
        <v>227</v>
      </c>
      <c r="D85" s="130">
        <v>10000</v>
      </c>
      <c r="E85" s="22" t="s">
        <v>0</v>
      </c>
      <c r="F85" s="416">
        <v>10000</v>
      </c>
      <c r="G85" s="416">
        <v>10000</v>
      </c>
      <c r="H85" s="416">
        <v>10000</v>
      </c>
    </row>
    <row r="86" spans="1:8">
      <c r="A86" s="75" t="s">
        <v>69</v>
      </c>
      <c r="B86" s="21" t="s">
        <v>58</v>
      </c>
      <c r="C86" s="22" t="s">
        <v>227</v>
      </c>
      <c r="D86" s="130">
        <v>10000</v>
      </c>
      <c r="E86" s="22" t="s">
        <v>0</v>
      </c>
      <c r="F86" s="416">
        <v>10000</v>
      </c>
      <c r="G86" s="416">
        <v>10000</v>
      </c>
      <c r="H86" s="416">
        <v>10000</v>
      </c>
    </row>
    <row r="87" spans="1:8">
      <c r="A87" s="73" t="s">
        <v>169</v>
      </c>
      <c r="B87" s="27" t="s">
        <v>170</v>
      </c>
      <c r="C87" s="28" t="s">
        <v>227</v>
      </c>
      <c r="D87" s="128">
        <f>D88+D90+D96+D94</f>
        <v>155000</v>
      </c>
      <c r="E87" s="28" t="s">
        <v>0</v>
      </c>
      <c r="F87" s="414">
        <f>F88+F90+F96+F94</f>
        <v>98000</v>
      </c>
      <c r="G87" s="414">
        <f>G88+G90+G96+G94</f>
        <v>98000</v>
      </c>
      <c r="H87" s="414">
        <f>H88+H90+H96+H94</f>
        <v>98000</v>
      </c>
    </row>
    <row r="88" spans="1:8">
      <c r="A88" s="74" t="s">
        <v>83</v>
      </c>
      <c r="B88" s="20" t="s">
        <v>84</v>
      </c>
      <c r="C88" s="19" t="s">
        <v>227</v>
      </c>
      <c r="D88" s="129">
        <f>D89</f>
        <v>58000</v>
      </c>
      <c r="E88" s="19" t="s">
        <v>0</v>
      </c>
      <c r="F88" s="415">
        <f>F89</f>
        <v>58000</v>
      </c>
      <c r="G88" s="415">
        <f>G89</f>
        <v>58000</v>
      </c>
      <c r="H88" s="415">
        <f>H89</f>
        <v>58000</v>
      </c>
    </row>
    <row r="89" spans="1:8">
      <c r="A89" s="75" t="s">
        <v>85</v>
      </c>
      <c r="B89" s="21" t="s">
        <v>86</v>
      </c>
      <c r="C89" s="22" t="s">
        <v>227</v>
      </c>
      <c r="D89" s="130">
        <v>58000</v>
      </c>
      <c r="E89" s="22" t="s">
        <v>0</v>
      </c>
      <c r="F89" s="416">
        <v>58000</v>
      </c>
      <c r="G89" s="416">
        <v>58000</v>
      </c>
      <c r="H89" s="416">
        <v>58000</v>
      </c>
    </row>
    <row r="90" spans="1:8">
      <c r="A90" s="74" t="s">
        <v>88</v>
      </c>
      <c r="B90" s="20" t="s">
        <v>89</v>
      </c>
      <c r="C90" s="19" t="s">
        <v>227</v>
      </c>
      <c r="D90" s="129">
        <f>D91+D92+D93</f>
        <v>35000</v>
      </c>
      <c r="E90" s="19" t="s">
        <v>0</v>
      </c>
      <c r="F90" s="415">
        <f>F91+F92+F93</f>
        <v>35000</v>
      </c>
      <c r="G90" s="415">
        <f>G91+G92+G93</f>
        <v>35000</v>
      </c>
      <c r="H90" s="415">
        <f>H91+H92+H93</f>
        <v>35000</v>
      </c>
    </row>
    <row r="91" spans="1:8">
      <c r="A91" s="75" t="s">
        <v>90</v>
      </c>
      <c r="B91" s="21" t="s">
        <v>91</v>
      </c>
      <c r="C91" s="22" t="s">
        <v>227</v>
      </c>
      <c r="D91" s="130">
        <v>30000</v>
      </c>
      <c r="E91" s="22" t="s">
        <v>0</v>
      </c>
      <c r="F91" s="416">
        <v>30000</v>
      </c>
      <c r="G91" s="416">
        <v>30000</v>
      </c>
      <c r="H91" s="416">
        <v>30000</v>
      </c>
    </row>
    <row r="92" spans="1:8">
      <c r="A92" s="75" t="s">
        <v>92</v>
      </c>
      <c r="B92" s="21" t="s">
        <v>93</v>
      </c>
      <c r="C92" s="22" t="s">
        <v>227</v>
      </c>
      <c r="D92" s="130">
        <v>5000</v>
      </c>
      <c r="E92" s="22" t="s">
        <v>0</v>
      </c>
      <c r="F92" s="416">
        <v>5000</v>
      </c>
      <c r="G92" s="416">
        <v>5000</v>
      </c>
      <c r="H92" s="416">
        <v>5000</v>
      </c>
    </row>
    <row r="93" spans="1:8">
      <c r="A93" s="75" t="s">
        <v>171</v>
      </c>
      <c r="B93" s="21" t="s">
        <v>172</v>
      </c>
      <c r="C93" s="22" t="s">
        <v>227</v>
      </c>
      <c r="D93" s="130">
        <v>0</v>
      </c>
      <c r="E93" s="22" t="s">
        <v>0</v>
      </c>
      <c r="F93" s="416">
        <v>0</v>
      </c>
      <c r="G93" s="416">
        <v>0</v>
      </c>
      <c r="H93" s="416">
        <v>0</v>
      </c>
    </row>
    <row r="94" spans="1:8">
      <c r="A94" s="74" t="s">
        <v>295</v>
      </c>
      <c r="B94" s="20" t="s">
        <v>296</v>
      </c>
      <c r="C94" s="19" t="s">
        <v>227</v>
      </c>
      <c r="D94" s="129">
        <f>D95</f>
        <v>60000</v>
      </c>
      <c r="E94" s="19" t="s">
        <v>0</v>
      </c>
      <c r="F94" s="415">
        <f>F95</f>
        <v>0</v>
      </c>
      <c r="G94" s="415">
        <f>G95</f>
        <v>0</v>
      </c>
      <c r="H94" s="415">
        <f>H95</f>
        <v>0</v>
      </c>
    </row>
    <row r="95" spans="1:8">
      <c r="A95" s="75">
        <v>4231</v>
      </c>
      <c r="B95" s="21" t="s">
        <v>297</v>
      </c>
      <c r="C95" s="22" t="s">
        <v>227</v>
      </c>
      <c r="D95" s="130">
        <v>60000</v>
      </c>
      <c r="E95" s="22" t="s">
        <v>0</v>
      </c>
      <c r="F95" s="416">
        <v>0</v>
      </c>
      <c r="G95" s="416">
        <v>0</v>
      </c>
      <c r="H95" s="416">
        <v>0</v>
      </c>
    </row>
    <row r="96" spans="1:8">
      <c r="A96" s="74" t="s">
        <v>140</v>
      </c>
      <c r="B96" s="20" t="s">
        <v>141</v>
      </c>
      <c r="C96" s="19" t="s">
        <v>227</v>
      </c>
      <c r="D96" s="129">
        <f>D97</f>
        <v>2000</v>
      </c>
      <c r="E96" s="19" t="s">
        <v>0</v>
      </c>
      <c r="F96" s="415">
        <f>F97</f>
        <v>5000</v>
      </c>
      <c r="G96" s="415">
        <f>G97</f>
        <v>5000</v>
      </c>
      <c r="H96" s="415">
        <f>H97</f>
        <v>5000</v>
      </c>
    </row>
    <row r="97" spans="1:8">
      <c r="A97" s="75" t="s">
        <v>142</v>
      </c>
      <c r="B97" s="21" t="s">
        <v>143</v>
      </c>
      <c r="C97" s="22" t="s">
        <v>227</v>
      </c>
      <c r="D97" s="130">
        <v>2000</v>
      </c>
      <c r="E97" s="22" t="s">
        <v>0</v>
      </c>
      <c r="F97" s="416">
        <v>5000</v>
      </c>
      <c r="G97" s="416">
        <v>5000</v>
      </c>
      <c r="H97" s="416">
        <v>5000</v>
      </c>
    </row>
    <row r="98" spans="1:8">
      <c r="A98" s="73" t="s">
        <v>244</v>
      </c>
      <c r="B98" s="27" t="s">
        <v>183</v>
      </c>
      <c r="C98" s="28"/>
      <c r="D98" s="128">
        <f>D99+D102+D106</f>
        <v>450000</v>
      </c>
      <c r="E98" s="28" t="s">
        <v>0</v>
      </c>
      <c r="F98" s="414">
        <f>F99+F102+F106</f>
        <v>285000</v>
      </c>
      <c r="G98" s="414">
        <f>G99+G102+G106</f>
        <v>285000</v>
      </c>
      <c r="H98" s="414">
        <f>H99+H102+H106</f>
        <v>285000</v>
      </c>
    </row>
    <row r="99" spans="1:8">
      <c r="A99" s="74" t="s">
        <v>16</v>
      </c>
      <c r="B99" s="20" t="s">
        <v>17</v>
      </c>
      <c r="C99" s="19" t="s">
        <v>227</v>
      </c>
      <c r="D99" s="129">
        <f>D100+D101</f>
        <v>250000</v>
      </c>
      <c r="E99" s="19" t="s">
        <v>0</v>
      </c>
      <c r="F99" s="415">
        <f>F100+F101</f>
        <v>190000</v>
      </c>
      <c r="G99" s="415">
        <f>G100+G101</f>
        <v>190000</v>
      </c>
      <c r="H99" s="415">
        <f>H100+H101</f>
        <v>190000</v>
      </c>
    </row>
    <row r="100" spans="1:8">
      <c r="A100" s="75" t="s">
        <v>18</v>
      </c>
      <c r="B100" s="21" t="s">
        <v>19</v>
      </c>
      <c r="C100" s="22" t="s">
        <v>227</v>
      </c>
      <c r="D100" s="130">
        <v>190000</v>
      </c>
      <c r="E100" s="22" t="s">
        <v>0</v>
      </c>
      <c r="F100" s="416">
        <v>180000</v>
      </c>
      <c r="G100" s="416">
        <v>180000</v>
      </c>
      <c r="H100" s="416">
        <v>180000</v>
      </c>
    </row>
    <row r="101" spans="1:8">
      <c r="A101" s="75" t="s">
        <v>22</v>
      </c>
      <c r="B101" s="21" t="s">
        <v>23</v>
      </c>
      <c r="C101" s="22" t="s">
        <v>227</v>
      </c>
      <c r="D101" s="130">
        <v>60000</v>
      </c>
      <c r="E101" s="22" t="s">
        <v>0</v>
      </c>
      <c r="F101" s="416">
        <v>10000</v>
      </c>
      <c r="G101" s="416">
        <v>10000</v>
      </c>
      <c r="H101" s="416">
        <v>10000</v>
      </c>
    </row>
    <row r="102" spans="1:8">
      <c r="A102" s="74" t="s">
        <v>34</v>
      </c>
      <c r="B102" s="20" t="s">
        <v>35</v>
      </c>
      <c r="C102" s="19" t="s">
        <v>227</v>
      </c>
      <c r="D102" s="129">
        <f>D103+D104+D105</f>
        <v>185000</v>
      </c>
      <c r="E102" s="19" t="s">
        <v>0</v>
      </c>
      <c r="F102" s="415">
        <f>F103+F104+F105</f>
        <v>75000</v>
      </c>
      <c r="G102" s="415">
        <f>G103+G104+G105</f>
        <v>75000</v>
      </c>
      <c r="H102" s="415">
        <f>H103+H104+H105</f>
        <v>75000</v>
      </c>
    </row>
    <row r="103" spans="1:8">
      <c r="A103" s="75" t="s">
        <v>40</v>
      </c>
      <c r="B103" s="21" t="s">
        <v>41</v>
      </c>
      <c r="C103" s="22" t="s">
        <v>227</v>
      </c>
      <c r="D103" s="130">
        <v>100000</v>
      </c>
      <c r="E103" s="22" t="s">
        <v>0</v>
      </c>
      <c r="F103" s="416">
        <v>50000</v>
      </c>
      <c r="G103" s="416">
        <v>50000</v>
      </c>
      <c r="H103" s="416">
        <v>50000</v>
      </c>
    </row>
    <row r="104" spans="1:8">
      <c r="A104" s="75" t="s">
        <v>48</v>
      </c>
      <c r="B104" s="21" t="s">
        <v>49</v>
      </c>
      <c r="C104" s="22" t="s">
        <v>227</v>
      </c>
      <c r="D104" s="130">
        <v>70000</v>
      </c>
      <c r="E104" s="22" t="s">
        <v>0</v>
      </c>
      <c r="F104" s="416">
        <v>10000</v>
      </c>
      <c r="G104" s="416">
        <v>10000</v>
      </c>
      <c r="H104" s="416">
        <v>10000</v>
      </c>
    </row>
    <row r="105" spans="1:8">
      <c r="A105" s="75" t="s">
        <v>52</v>
      </c>
      <c r="B105" s="21" t="s">
        <v>53</v>
      </c>
      <c r="C105" s="22" t="s">
        <v>227</v>
      </c>
      <c r="D105" s="130">
        <v>15000</v>
      </c>
      <c r="E105" s="22" t="s">
        <v>0</v>
      </c>
      <c r="F105" s="416">
        <v>15000</v>
      </c>
      <c r="G105" s="416">
        <v>15000</v>
      </c>
      <c r="H105" s="416">
        <v>15000</v>
      </c>
    </row>
    <row r="106" spans="1:8">
      <c r="A106" s="74" t="s">
        <v>57</v>
      </c>
      <c r="B106" s="20" t="s">
        <v>58</v>
      </c>
      <c r="C106" s="19" t="s">
        <v>227</v>
      </c>
      <c r="D106" s="129">
        <f>D107+D108</f>
        <v>15000</v>
      </c>
      <c r="E106" s="19" t="s">
        <v>0</v>
      </c>
      <c r="F106" s="415">
        <f>F107+F108</f>
        <v>20000</v>
      </c>
      <c r="G106" s="415">
        <f>G107+G108</f>
        <v>20000</v>
      </c>
      <c r="H106" s="415">
        <f>H107+H108</f>
        <v>20000</v>
      </c>
    </row>
    <row r="107" spans="1:8">
      <c r="A107" s="75" t="s">
        <v>63</v>
      </c>
      <c r="B107" s="21" t="s">
        <v>64</v>
      </c>
      <c r="C107" s="22" t="s">
        <v>227</v>
      </c>
      <c r="D107" s="130">
        <v>5000</v>
      </c>
      <c r="E107" s="22" t="s">
        <v>0</v>
      </c>
      <c r="F107" s="416">
        <v>10000</v>
      </c>
      <c r="G107" s="416">
        <v>10000</v>
      </c>
      <c r="H107" s="416">
        <v>10000</v>
      </c>
    </row>
    <row r="108" spans="1:8">
      <c r="A108" s="75" t="s">
        <v>69</v>
      </c>
      <c r="B108" s="21" t="s">
        <v>58</v>
      </c>
      <c r="C108" s="22" t="s">
        <v>227</v>
      </c>
      <c r="D108" s="130">
        <v>10000</v>
      </c>
      <c r="E108" s="22" t="s">
        <v>0</v>
      </c>
      <c r="F108" s="416">
        <v>10000</v>
      </c>
      <c r="G108" s="416">
        <v>10000</v>
      </c>
      <c r="H108" s="416">
        <v>10000</v>
      </c>
    </row>
    <row r="109" spans="1:8">
      <c r="A109" s="73" t="s">
        <v>245</v>
      </c>
      <c r="B109" s="103" t="s">
        <v>151</v>
      </c>
      <c r="C109" s="104"/>
      <c r="D109" s="128">
        <f>D110+D112</f>
        <v>95000</v>
      </c>
      <c r="E109" s="28" t="s">
        <v>0</v>
      </c>
      <c r="F109" s="414">
        <f>F110+F112</f>
        <v>55000</v>
      </c>
      <c r="G109" s="414">
        <f>G110+G112</f>
        <v>55000</v>
      </c>
      <c r="H109" s="414">
        <f>H110+H112</f>
        <v>55000</v>
      </c>
    </row>
    <row r="110" spans="1:8">
      <c r="A110" s="74" t="s">
        <v>16</v>
      </c>
      <c r="B110" s="20" t="s">
        <v>17</v>
      </c>
      <c r="C110" s="19" t="s">
        <v>227</v>
      </c>
      <c r="D110" s="129">
        <f>D111</f>
        <v>90000</v>
      </c>
      <c r="E110" s="19" t="s">
        <v>0</v>
      </c>
      <c r="F110" s="415">
        <f>F111</f>
        <v>50000</v>
      </c>
      <c r="G110" s="415">
        <f>G111</f>
        <v>50000</v>
      </c>
      <c r="H110" s="415">
        <f>H111</f>
        <v>50000</v>
      </c>
    </row>
    <row r="111" spans="1:8">
      <c r="A111" s="75" t="s">
        <v>18</v>
      </c>
      <c r="B111" s="21" t="s">
        <v>19</v>
      </c>
      <c r="C111" s="22" t="s">
        <v>227</v>
      </c>
      <c r="D111" s="130">
        <v>90000</v>
      </c>
      <c r="E111" s="22" t="s">
        <v>0</v>
      </c>
      <c r="F111" s="416">
        <v>50000</v>
      </c>
      <c r="G111" s="416">
        <v>50000</v>
      </c>
      <c r="H111" s="416">
        <v>50000</v>
      </c>
    </row>
    <row r="112" spans="1:8">
      <c r="A112" s="74" t="s">
        <v>34</v>
      </c>
      <c r="B112" s="20" t="s">
        <v>35</v>
      </c>
      <c r="C112" s="19" t="s">
        <v>227</v>
      </c>
      <c r="D112" s="129">
        <f>D113</f>
        <v>5000</v>
      </c>
      <c r="E112" s="19" t="s">
        <v>0</v>
      </c>
      <c r="F112" s="415">
        <f>F113</f>
        <v>5000</v>
      </c>
      <c r="G112" s="415">
        <f>G113</f>
        <v>5000</v>
      </c>
      <c r="H112" s="415">
        <f>H113</f>
        <v>5000</v>
      </c>
    </row>
    <row r="113" spans="1:8">
      <c r="A113" s="75" t="s">
        <v>48</v>
      </c>
      <c r="B113" s="21" t="s">
        <v>49</v>
      </c>
      <c r="C113" s="22" t="s">
        <v>227</v>
      </c>
      <c r="D113" s="130">
        <v>5000</v>
      </c>
      <c r="E113" s="22" t="s">
        <v>0</v>
      </c>
      <c r="F113" s="416">
        <v>5000</v>
      </c>
      <c r="G113" s="416">
        <v>5000</v>
      </c>
      <c r="H113" s="416">
        <v>5000</v>
      </c>
    </row>
    <row r="114" spans="1:8">
      <c r="A114" s="73" t="s">
        <v>307</v>
      </c>
      <c r="B114" s="103" t="s">
        <v>308</v>
      </c>
      <c r="C114" s="104"/>
      <c r="D114" s="128">
        <f>D115+D117</f>
        <v>0</v>
      </c>
      <c r="E114" s="28"/>
      <c r="F114" s="414">
        <f>F116+F118</f>
        <v>890000</v>
      </c>
      <c r="G114" s="414">
        <f t="shared" ref="G114:H114" si="3">G116+G118</f>
        <v>0</v>
      </c>
      <c r="H114" s="414">
        <f t="shared" si="3"/>
        <v>0</v>
      </c>
    </row>
    <row r="115" spans="1:8">
      <c r="A115" s="74" t="s">
        <v>34</v>
      </c>
      <c r="B115" s="20" t="s">
        <v>35</v>
      </c>
      <c r="C115" s="19" t="s">
        <v>227</v>
      </c>
      <c r="D115" s="129">
        <f>D116</f>
        <v>0</v>
      </c>
      <c r="E115" s="19" t="s">
        <v>235</v>
      </c>
      <c r="F115" s="415">
        <f>F116</f>
        <v>800000</v>
      </c>
      <c r="G115" s="415">
        <f>G116</f>
        <v>0</v>
      </c>
      <c r="H115" s="415">
        <f>H116</f>
        <v>0</v>
      </c>
    </row>
    <row r="116" spans="1:8">
      <c r="A116" s="75">
        <v>3237</v>
      </c>
      <c r="B116" s="21" t="s">
        <v>49</v>
      </c>
      <c r="C116" s="22" t="s">
        <v>227</v>
      </c>
      <c r="D116" s="130">
        <v>0</v>
      </c>
      <c r="E116" s="22" t="s">
        <v>235</v>
      </c>
      <c r="F116" s="416">
        <v>800000</v>
      </c>
      <c r="G116" s="416"/>
      <c r="H116" s="416"/>
    </row>
    <row r="117" spans="1:8">
      <c r="A117" s="74" t="s">
        <v>34</v>
      </c>
      <c r="B117" s="20" t="s">
        <v>35</v>
      </c>
      <c r="C117" s="19" t="s">
        <v>227</v>
      </c>
      <c r="D117" s="129">
        <f>D118</f>
        <v>0</v>
      </c>
      <c r="E117" s="19" t="s">
        <v>82</v>
      </c>
      <c r="F117" s="415">
        <f>F118</f>
        <v>90000</v>
      </c>
      <c r="G117" s="415">
        <f>G118</f>
        <v>0</v>
      </c>
      <c r="H117" s="415">
        <f>H118</f>
        <v>0</v>
      </c>
    </row>
    <row r="118" spans="1:8">
      <c r="A118" s="75" t="s">
        <v>48</v>
      </c>
      <c r="B118" s="21" t="s">
        <v>49</v>
      </c>
      <c r="C118" s="22" t="s">
        <v>227</v>
      </c>
      <c r="D118" s="130">
        <v>0</v>
      </c>
      <c r="E118" s="22" t="s">
        <v>82</v>
      </c>
      <c r="F118" s="416">
        <v>90000</v>
      </c>
      <c r="G118" s="416"/>
      <c r="H118" s="416"/>
    </row>
  </sheetData>
  <mergeCells count="2">
    <mergeCell ref="A12:H12"/>
    <mergeCell ref="A3:C11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>
    <oddFooter>&amp;CA I K&amp;R&amp;P</oddFooter>
  </headerFooter>
  <rowBreaks count="3" manualBreakCount="3">
    <brk id="32" max="7" man="1"/>
    <brk id="64" max="7" man="1"/>
    <brk id="9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="110" zoomScaleNormal="110" zoomScaleSheetLayoutView="100" workbookViewId="0">
      <pane ySplit="12" topLeftCell="A13" activePane="bottomLeft" state="frozen"/>
      <selection pane="bottomLeft" activeCell="F9" sqref="F9"/>
    </sheetView>
  </sheetViews>
  <sheetFormatPr defaultRowHeight="15"/>
  <cols>
    <col min="1" max="1" width="10.7109375" style="66" customWidth="1"/>
    <col min="2" max="2" width="50.7109375" customWidth="1"/>
    <col min="3" max="3" width="5.7109375" customWidth="1"/>
    <col min="4" max="4" width="14.7109375" style="44" customWidth="1"/>
    <col min="5" max="5" width="5.7109375" customWidth="1"/>
    <col min="6" max="7" width="16.7109375" style="163" customWidth="1"/>
    <col min="8" max="8" width="16.7109375" customWidth="1"/>
    <col min="9" max="9" width="13.42578125" customWidth="1"/>
    <col min="10" max="10" width="15.140625" customWidth="1"/>
    <col min="11" max="11" width="12.7109375" customWidth="1"/>
  </cols>
  <sheetData>
    <row r="1" spans="1:11" ht="30" customHeight="1">
      <c r="A1" s="83"/>
      <c r="B1" s="84"/>
      <c r="C1" s="85" t="s">
        <v>220</v>
      </c>
      <c r="D1" s="85" t="s">
        <v>302</v>
      </c>
      <c r="E1" s="85" t="s">
        <v>180</v>
      </c>
      <c r="F1" s="80" t="s">
        <v>398</v>
      </c>
      <c r="G1" s="80" t="s">
        <v>399</v>
      </c>
      <c r="H1" s="316" t="s">
        <v>400</v>
      </c>
    </row>
    <row r="2" spans="1:11" ht="25.5" customHeight="1">
      <c r="A2" s="86" t="s">
        <v>117</v>
      </c>
      <c r="B2" s="90" t="s">
        <v>118</v>
      </c>
      <c r="C2" s="88"/>
      <c r="D2" s="89">
        <f>D5+D6+D7+D8+D9+D10+D11</f>
        <v>15064481</v>
      </c>
      <c r="E2" s="88"/>
      <c r="F2" s="155">
        <f>F5+F6+F7+F8+F9+F10+F11</f>
        <v>15203505</v>
      </c>
      <c r="G2" s="155">
        <f>G5+G6+G7+G8+G9+G10+G11</f>
        <v>16483505</v>
      </c>
      <c r="H2" s="89">
        <f>H5+H6+H7+H8+H9+H10+H11</f>
        <v>16483505</v>
      </c>
    </row>
    <row r="3" spans="1:11" ht="15" customHeight="1">
      <c r="A3" s="599"/>
      <c r="B3" s="599"/>
      <c r="C3" s="600"/>
      <c r="D3" s="25">
        <f>D13+D56+D61+D68+D71</f>
        <v>15000000</v>
      </c>
      <c r="E3" s="94">
        <v>11</v>
      </c>
      <c r="F3" s="156">
        <f>F13+F56+F61+F68+F71</f>
        <v>15178505</v>
      </c>
      <c r="G3" s="156">
        <f>G13+G56+G61+G68+G71</f>
        <v>16478505</v>
      </c>
      <c r="H3" s="25">
        <f>H13+H56+H61+H68+H71</f>
        <v>16478505</v>
      </c>
      <c r="I3" s="26"/>
      <c r="J3" s="26"/>
      <c r="K3" s="26"/>
    </row>
    <row r="4" spans="1:11">
      <c r="A4" s="601"/>
      <c r="B4" s="601"/>
      <c r="C4" s="602"/>
      <c r="D4" s="25">
        <v>0</v>
      </c>
      <c r="E4" s="24">
        <v>12</v>
      </c>
      <c r="F4" s="156">
        <v>0</v>
      </c>
      <c r="G4" s="156">
        <v>0</v>
      </c>
      <c r="H4" s="25">
        <v>0</v>
      </c>
      <c r="I4" s="44"/>
      <c r="J4" s="44"/>
      <c r="K4" s="44"/>
    </row>
    <row r="5" spans="1:11">
      <c r="A5" s="601"/>
      <c r="B5" s="601"/>
      <c r="C5" s="602"/>
      <c r="D5" s="33">
        <f>D3+D4</f>
        <v>15000000</v>
      </c>
      <c r="E5" s="34" t="s">
        <v>267</v>
      </c>
      <c r="F5" s="157">
        <f>F3+F4</f>
        <v>15178505</v>
      </c>
      <c r="G5" s="157">
        <f>G3+G4</f>
        <v>16478505</v>
      </c>
      <c r="H5" s="33">
        <f>H3+H4</f>
        <v>16478505</v>
      </c>
      <c r="I5" s="44"/>
      <c r="J5" s="44"/>
      <c r="K5" s="44"/>
    </row>
    <row r="6" spans="1:11">
      <c r="A6" s="601"/>
      <c r="B6" s="601"/>
      <c r="C6" s="602"/>
      <c r="D6" s="25">
        <f>D30</f>
        <v>5000</v>
      </c>
      <c r="E6" s="24" t="s">
        <v>272</v>
      </c>
      <c r="F6" s="156">
        <f>F30+F26</f>
        <v>25000</v>
      </c>
      <c r="G6" s="156">
        <f t="shared" ref="G6:H6" si="0">G30+G26</f>
        <v>5000</v>
      </c>
      <c r="H6" s="156">
        <f t="shared" si="0"/>
        <v>5000</v>
      </c>
      <c r="I6" s="44"/>
      <c r="J6" s="44"/>
      <c r="K6" s="44"/>
    </row>
    <row r="7" spans="1:11">
      <c r="A7" s="601"/>
      <c r="B7" s="601"/>
      <c r="C7" s="602"/>
      <c r="D7" s="25">
        <v>0</v>
      </c>
      <c r="E7" s="24" t="s">
        <v>235</v>
      </c>
      <c r="F7" s="156">
        <v>0</v>
      </c>
      <c r="G7" s="156">
        <v>0</v>
      </c>
      <c r="H7" s="25">
        <v>0</v>
      </c>
      <c r="I7" s="44"/>
      <c r="J7" s="44"/>
      <c r="K7" s="44"/>
    </row>
    <row r="8" spans="1:11">
      <c r="A8" s="601"/>
      <c r="B8" s="601"/>
      <c r="C8" s="602"/>
      <c r="D8" s="25">
        <f>D46+D26</f>
        <v>59481</v>
      </c>
      <c r="E8" s="24" t="s">
        <v>264</v>
      </c>
      <c r="F8" s="156">
        <f>F46</f>
        <v>0</v>
      </c>
      <c r="G8" s="156">
        <f>G46+G26</f>
        <v>0</v>
      </c>
      <c r="H8" s="25">
        <f>H46+H26</f>
        <v>0</v>
      </c>
      <c r="I8" s="44"/>
      <c r="J8" s="44"/>
      <c r="K8" s="44"/>
    </row>
    <row r="9" spans="1:11">
      <c r="A9" s="601"/>
      <c r="B9" s="601"/>
      <c r="C9" s="602"/>
      <c r="D9" s="25">
        <v>0</v>
      </c>
      <c r="E9" s="24" t="s">
        <v>265</v>
      </c>
      <c r="F9" s="156">
        <v>0</v>
      </c>
      <c r="G9" s="156">
        <v>0</v>
      </c>
      <c r="H9" s="25">
        <v>0</v>
      </c>
      <c r="I9" s="44"/>
      <c r="J9" s="44"/>
      <c r="K9" s="44"/>
    </row>
    <row r="10" spans="1:11">
      <c r="A10" s="601"/>
      <c r="B10" s="601"/>
      <c r="C10" s="602"/>
      <c r="D10" s="25">
        <v>0</v>
      </c>
      <c r="E10" s="24" t="s">
        <v>234</v>
      </c>
      <c r="F10" s="156">
        <v>0</v>
      </c>
      <c r="G10" s="156">
        <v>0</v>
      </c>
      <c r="H10" s="25">
        <v>0</v>
      </c>
      <c r="I10" s="44"/>
      <c r="J10" s="44"/>
      <c r="K10" s="44"/>
    </row>
    <row r="11" spans="1:11">
      <c r="A11" s="613"/>
      <c r="B11" s="613"/>
      <c r="C11" s="614"/>
      <c r="D11" s="25">
        <v>0</v>
      </c>
      <c r="E11" s="24" t="s">
        <v>292</v>
      </c>
      <c r="F11" s="156">
        <v>0</v>
      </c>
      <c r="G11" s="156">
        <v>0</v>
      </c>
      <c r="H11" s="25">
        <v>0</v>
      </c>
      <c r="I11" s="44"/>
      <c r="J11" s="44"/>
      <c r="K11" s="44"/>
    </row>
    <row r="12" spans="1:11" ht="25.5" customHeight="1">
      <c r="A12" s="609" t="s">
        <v>222</v>
      </c>
      <c r="B12" s="610"/>
      <c r="C12" s="610"/>
      <c r="D12" s="610"/>
      <c r="E12" s="610"/>
      <c r="F12" s="611"/>
      <c r="G12" s="612"/>
      <c r="H12" s="610"/>
    </row>
    <row r="13" spans="1:11">
      <c r="A13" s="67" t="s">
        <v>119</v>
      </c>
      <c r="B13" s="11" t="s">
        <v>120</v>
      </c>
      <c r="C13" s="13"/>
      <c r="D13" s="12">
        <f>D14+D17+D19+D22+D27+D35+D45+D52</f>
        <v>14420000</v>
      </c>
      <c r="E13" s="13" t="s">
        <v>0</v>
      </c>
      <c r="F13" s="158">
        <f>F14+F17+F19+F22+F27+F35+F45+F52</f>
        <v>14399130</v>
      </c>
      <c r="G13" s="158">
        <f>G14+G17+G19+G22+G27+G35+G45+G52</f>
        <v>15370293</v>
      </c>
      <c r="H13" s="12">
        <f>H14+H17+H19+H22+H27+H35+H45+H52</f>
        <v>14839978</v>
      </c>
    </row>
    <row r="14" spans="1:11">
      <c r="A14" s="68" t="s">
        <v>1</v>
      </c>
      <c r="B14" s="6" t="s">
        <v>2</v>
      </c>
      <c r="C14" s="5" t="s">
        <v>227</v>
      </c>
      <c r="D14" s="1">
        <f>D15+D16</f>
        <v>8000000</v>
      </c>
      <c r="E14" s="5" t="s">
        <v>0</v>
      </c>
      <c r="F14" s="159">
        <f>F15+F16</f>
        <v>8085984</v>
      </c>
      <c r="G14" s="159">
        <f>G15+G16</f>
        <v>8495984</v>
      </c>
      <c r="H14" s="1">
        <f>H15+H16</f>
        <v>8045984</v>
      </c>
    </row>
    <row r="15" spans="1:11">
      <c r="A15" s="69" t="s">
        <v>3</v>
      </c>
      <c r="B15" s="7" t="s">
        <v>4</v>
      </c>
      <c r="C15" s="10" t="s">
        <v>227</v>
      </c>
      <c r="D15" s="8">
        <v>7981000</v>
      </c>
      <c r="E15" s="10" t="s">
        <v>0</v>
      </c>
      <c r="F15" s="160">
        <v>8066984</v>
      </c>
      <c r="G15" s="160">
        <v>8476984</v>
      </c>
      <c r="H15" s="8">
        <v>8026984</v>
      </c>
    </row>
    <row r="16" spans="1:11">
      <c r="A16" s="69" t="s">
        <v>5</v>
      </c>
      <c r="B16" s="7" t="s">
        <v>6</v>
      </c>
      <c r="C16" s="10" t="s">
        <v>227</v>
      </c>
      <c r="D16" s="8">
        <v>19000</v>
      </c>
      <c r="E16" s="10" t="s">
        <v>0</v>
      </c>
      <c r="F16" s="160">
        <v>19000</v>
      </c>
      <c r="G16" s="160">
        <v>19000</v>
      </c>
      <c r="H16" s="8">
        <v>19000</v>
      </c>
    </row>
    <row r="17" spans="1:8">
      <c r="A17" s="68" t="s">
        <v>7</v>
      </c>
      <c r="B17" s="6" t="s">
        <v>8</v>
      </c>
      <c r="C17" s="5" t="s">
        <v>227</v>
      </c>
      <c r="D17" s="1">
        <f>D18</f>
        <v>347050</v>
      </c>
      <c r="E17" s="5" t="s">
        <v>0</v>
      </c>
      <c r="F17" s="159">
        <f>F18</f>
        <v>215000</v>
      </c>
      <c r="G17" s="159">
        <f>G18</f>
        <v>175000</v>
      </c>
      <c r="H17" s="1">
        <f>H18</f>
        <v>175000</v>
      </c>
    </row>
    <row r="18" spans="1:8">
      <c r="A18" s="69" t="s">
        <v>9</v>
      </c>
      <c r="B18" s="7" t="s">
        <v>8</v>
      </c>
      <c r="C18" s="10" t="s">
        <v>227</v>
      </c>
      <c r="D18" s="8">
        <v>347050</v>
      </c>
      <c r="E18" s="10" t="s">
        <v>0</v>
      </c>
      <c r="F18" s="160">
        <v>215000</v>
      </c>
      <c r="G18" s="160">
        <v>175000</v>
      </c>
      <c r="H18" s="8">
        <v>175000</v>
      </c>
    </row>
    <row r="19" spans="1:8">
      <c r="A19" s="68" t="s">
        <v>10</v>
      </c>
      <c r="B19" s="6" t="s">
        <v>11</v>
      </c>
      <c r="C19" s="5" t="s">
        <v>227</v>
      </c>
      <c r="D19" s="1">
        <f>D20+D21</f>
        <v>1376000</v>
      </c>
      <c r="E19" s="5" t="s">
        <v>0</v>
      </c>
      <c r="F19" s="159">
        <f>F20+F21</f>
        <v>1387521</v>
      </c>
      <c r="G19" s="159">
        <f>G20+G21</f>
        <v>1461309</v>
      </c>
      <c r="H19" s="1">
        <f>H20+H21</f>
        <v>1380994</v>
      </c>
    </row>
    <row r="20" spans="1:8">
      <c r="A20" s="69" t="s">
        <v>12</v>
      </c>
      <c r="B20" s="7" t="s">
        <v>13</v>
      </c>
      <c r="C20" s="10" t="s">
        <v>227</v>
      </c>
      <c r="D20" s="8">
        <v>1240000</v>
      </c>
      <c r="E20" s="10" t="s">
        <v>0</v>
      </c>
      <c r="F20" s="160">
        <v>1250382</v>
      </c>
      <c r="G20" s="160">
        <v>1316877</v>
      </c>
      <c r="H20" s="8">
        <v>1244212</v>
      </c>
    </row>
    <row r="21" spans="1:8">
      <c r="A21" s="69" t="s">
        <v>14</v>
      </c>
      <c r="B21" s="7" t="s">
        <v>15</v>
      </c>
      <c r="C21" s="10" t="s">
        <v>227</v>
      </c>
      <c r="D21" s="8">
        <v>136000</v>
      </c>
      <c r="E21" s="10" t="s">
        <v>0</v>
      </c>
      <c r="F21" s="160">
        <v>137139</v>
      </c>
      <c r="G21" s="160">
        <v>144432</v>
      </c>
      <c r="H21" s="8">
        <v>136782</v>
      </c>
    </row>
    <row r="22" spans="1:8">
      <c r="A22" s="68" t="s">
        <v>16</v>
      </c>
      <c r="B22" s="6" t="s">
        <v>17</v>
      </c>
      <c r="C22" s="5" t="s">
        <v>227</v>
      </c>
      <c r="D22" s="1">
        <f>D23+D24+D25</f>
        <v>900000</v>
      </c>
      <c r="E22" s="5" t="s">
        <v>0</v>
      </c>
      <c r="F22" s="159">
        <f>F23+F24+F25</f>
        <v>1030000</v>
      </c>
      <c r="G22" s="159">
        <f>G23+G24+G25</f>
        <v>1220000</v>
      </c>
      <c r="H22" s="1">
        <f>H23+H24+H25</f>
        <v>1220000</v>
      </c>
    </row>
    <row r="23" spans="1:8">
      <c r="A23" s="69" t="s">
        <v>18</v>
      </c>
      <c r="B23" s="7" t="s">
        <v>19</v>
      </c>
      <c r="C23" s="10" t="s">
        <v>227</v>
      </c>
      <c r="D23" s="8">
        <v>500000</v>
      </c>
      <c r="E23" s="10" t="s">
        <v>0</v>
      </c>
      <c r="F23" s="160">
        <v>600000</v>
      </c>
      <c r="G23" s="160">
        <v>700000</v>
      </c>
      <c r="H23" s="8">
        <v>700000</v>
      </c>
    </row>
    <row r="24" spans="1:8">
      <c r="A24" s="69" t="s">
        <v>20</v>
      </c>
      <c r="B24" s="7" t="s">
        <v>21</v>
      </c>
      <c r="C24" s="10" t="s">
        <v>227</v>
      </c>
      <c r="D24" s="8">
        <v>350000</v>
      </c>
      <c r="E24" s="10" t="s">
        <v>0</v>
      </c>
      <c r="F24" s="160">
        <v>350000</v>
      </c>
      <c r="G24" s="160">
        <v>400000</v>
      </c>
      <c r="H24" s="8">
        <v>400000</v>
      </c>
    </row>
    <row r="25" spans="1:8">
      <c r="A25" s="69" t="s">
        <v>22</v>
      </c>
      <c r="B25" s="7" t="s">
        <v>23</v>
      </c>
      <c r="C25" s="10" t="s">
        <v>227</v>
      </c>
      <c r="D25" s="8">
        <v>50000</v>
      </c>
      <c r="E25" s="10" t="s">
        <v>0</v>
      </c>
      <c r="F25" s="160">
        <v>80000</v>
      </c>
      <c r="G25" s="160">
        <v>120000</v>
      </c>
      <c r="H25" s="8">
        <v>120000</v>
      </c>
    </row>
    <row r="26" spans="1:8" s="44" customFormat="1">
      <c r="A26" s="110" t="s">
        <v>22</v>
      </c>
      <c r="B26" s="111" t="s">
        <v>23</v>
      </c>
      <c r="C26" s="112" t="s">
        <v>227</v>
      </c>
      <c r="D26" s="113">
        <v>4849</v>
      </c>
      <c r="E26" s="112" t="s">
        <v>272</v>
      </c>
      <c r="F26" s="161">
        <v>20000</v>
      </c>
      <c r="G26" s="161"/>
      <c r="H26" s="113"/>
    </row>
    <row r="27" spans="1:8">
      <c r="A27" s="68" t="s">
        <v>24</v>
      </c>
      <c r="B27" s="6" t="s">
        <v>25</v>
      </c>
      <c r="C27" s="5" t="s">
        <v>227</v>
      </c>
      <c r="D27" s="1">
        <f>D28+D29+D31+D32+D33+D34</f>
        <v>1190000</v>
      </c>
      <c r="E27" s="5" t="s">
        <v>0</v>
      </c>
      <c r="F27" s="159">
        <f>F28+F29+F31+F32+F33+F34</f>
        <v>1170000</v>
      </c>
      <c r="G27" s="159">
        <f>G28+G29+G31+G32+G33+G34</f>
        <v>1285000</v>
      </c>
      <c r="H27" s="1">
        <f>H28+H29+H31+H32+H33+H34</f>
        <v>1285000</v>
      </c>
    </row>
    <row r="28" spans="1:8">
      <c r="A28" s="69" t="s">
        <v>26</v>
      </c>
      <c r="B28" s="7" t="s">
        <v>27</v>
      </c>
      <c r="C28" s="10" t="s">
        <v>227</v>
      </c>
      <c r="D28" s="8">
        <v>80000</v>
      </c>
      <c r="E28" s="10" t="s">
        <v>0</v>
      </c>
      <c r="F28" s="160">
        <v>100000</v>
      </c>
      <c r="G28" s="160">
        <v>100000</v>
      </c>
      <c r="H28" s="8">
        <v>100000</v>
      </c>
    </row>
    <row r="29" spans="1:8">
      <c r="A29" s="69" t="s">
        <v>121</v>
      </c>
      <c r="B29" s="7" t="s">
        <v>122</v>
      </c>
      <c r="C29" s="10" t="s">
        <v>227</v>
      </c>
      <c r="D29" s="8">
        <v>400000</v>
      </c>
      <c r="E29" s="10" t="s">
        <v>0</v>
      </c>
      <c r="F29" s="160">
        <v>380000</v>
      </c>
      <c r="G29" s="160">
        <v>400000</v>
      </c>
      <c r="H29" s="8">
        <v>400000</v>
      </c>
    </row>
    <row r="30" spans="1:8">
      <c r="A30" s="110" t="s">
        <v>121</v>
      </c>
      <c r="B30" s="111" t="s">
        <v>122</v>
      </c>
      <c r="C30" s="112" t="s">
        <v>227</v>
      </c>
      <c r="D30" s="113">
        <v>5000</v>
      </c>
      <c r="E30" s="112" t="s">
        <v>272</v>
      </c>
      <c r="F30" s="161">
        <v>5000</v>
      </c>
      <c r="G30" s="161">
        <v>5000</v>
      </c>
      <c r="H30" s="113">
        <v>5000</v>
      </c>
    </row>
    <row r="31" spans="1:8">
      <c r="A31" s="69" t="s">
        <v>28</v>
      </c>
      <c r="B31" s="7" t="s">
        <v>29</v>
      </c>
      <c r="C31" s="10" t="s">
        <v>227</v>
      </c>
      <c r="D31" s="8">
        <v>650000</v>
      </c>
      <c r="E31" s="10" t="s">
        <v>0</v>
      </c>
      <c r="F31" s="160">
        <v>600000</v>
      </c>
      <c r="G31" s="160">
        <v>650000</v>
      </c>
      <c r="H31" s="8">
        <v>650000</v>
      </c>
    </row>
    <row r="32" spans="1:8">
      <c r="A32" s="69" t="s">
        <v>30</v>
      </c>
      <c r="B32" s="7" t="s">
        <v>31</v>
      </c>
      <c r="C32" s="10" t="s">
        <v>227</v>
      </c>
      <c r="D32" s="8">
        <v>5000</v>
      </c>
      <c r="E32" s="10" t="s">
        <v>0</v>
      </c>
      <c r="F32" s="160">
        <v>10000</v>
      </c>
      <c r="G32" s="160">
        <v>10000</v>
      </c>
      <c r="H32" s="8">
        <v>10000</v>
      </c>
    </row>
    <row r="33" spans="1:8">
      <c r="A33" s="69" t="s">
        <v>32</v>
      </c>
      <c r="B33" s="7" t="s">
        <v>33</v>
      </c>
      <c r="C33" s="10" t="s">
        <v>227</v>
      </c>
      <c r="D33" s="8">
        <v>50000</v>
      </c>
      <c r="E33" s="10" t="s">
        <v>0</v>
      </c>
      <c r="F33" s="160">
        <v>50000</v>
      </c>
      <c r="G33" s="160">
        <v>75000</v>
      </c>
      <c r="H33" s="8">
        <v>75000</v>
      </c>
    </row>
    <row r="34" spans="1:8">
      <c r="A34" s="69" t="s">
        <v>103</v>
      </c>
      <c r="B34" s="7" t="s">
        <v>104</v>
      </c>
      <c r="C34" s="10" t="s">
        <v>227</v>
      </c>
      <c r="D34" s="8">
        <v>5000</v>
      </c>
      <c r="E34" s="10" t="s">
        <v>0</v>
      </c>
      <c r="F34" s="160">
        <v>30000</v>
      </c>
      <c r="G34" s="160">
        <v>50000</v>
      </c>
      <c r="H34" s="8">
        <v>50000</v>
      </c>
    </row>
    <row r="35" spans="1:8">
      <c r="A35" s="68" t="s">
        <v>34</v>
      </c>
      <c r="B35" s="6" t="s">
        <v>35</v>
      </c>
      <c r="C35" s="5" t="s">
        <v>227</v>
      </c>
      <c r="D35" s="1">
        <f>D36+D37+D38+D39+D40+D41+D42+D43+D44</f>
        <v>2295950</v>
      </c>
      <c r="E35" s="5" t="s">
        <v>0</v>
      </c>
      <c r="F35" s="159">
        <f>F36+F37+F38+F39+F40+F41+F42+F43+F44</f>
        <v>2192625</v>
      </c>
      <c r="G35" s="159">
        <f>G36+G37+G38+G39+G40+G41+G42+G43+G44</f>
        <v>2385000</v>
      </c>
      <c r="H35" s="1">
        <f>H36+H37+H38+H39+H40+H41+H42+H43+H44</f>
        <v>2385000</v>
      </c>
    </row>
    <row r="36" spans="1:8">
      <c r="A36" s="69" t="s">
        <v>36</v>
      </c>
      <c r="B36" s="7" t="s">
        <v>37</v>
      </c>
      <c r="C36" s="10" t="s">
        <v>227</v>
      </c>
      <c r="D36" s="8">
        <v>350000</v>
      </c>
      <c r="E36" s="10" t="s">
        <v>0</v>
      </c>
      <c r="F36" s="160">
        <v>350000</v>
      </c>
      <c r="G36" s="160">
        <v>380000</v>
      </c>
      <c r="H36" s="8">
        <v>380000</v>
      </c>
    </row>
    <row r="37" spans="1:8">
      <c r="A37" s="69" t="s">
        <v>38</v>
      </c>
      <c r="B37" s="7" t="s">
        <v>39</v>
      </c>
      <c r="C37" s="10" t="s">
        <v>227</v>
      </c>
      <c r="D37" s="8">
        <v>350000</v>
      </c>
      <c r="E37" s="10" t="s">
        <v>0</v>
      </c>
      <c r="F37" s="160">
        <v>300000</v>
      </c>
      <c r="G37" s="160">
        <v>400000</v>
      </c>
      <c r="H37" s="8">
        <v>400000</v>
      </c>
    </row>
    <row r="38" spans="1:8">
      <c r="A38" s="69" t="s">
        <v>40</v>
      </c>
      <c r="B38" s="7" t="s">
        <v>41</v>
      </c>
      <c r="C38" s="10" t="s">
        <v>227</v>
      </c>
      <c r="D38" s="8">
        <v>30000</v>
      </c>
      <c r="E38" s="10" t="s">
        <v>0</v>
      </c>
      <c r="F38" s="160">
        <v>30000</v>
      </c>
      <c r="G38" s="160">
        <v>30000</v>
      </c>
      <c r="H38" s="8">
        <v>30000</v>
      </c>
    </row>
    <row r="39" spans="1:8">
      <c r="A39" s="69" t="s">
        <v>42</v>
      </c>
      <c r="B39" s="7" t="s">
        <v>43</v>
      </c>
      <c r="C39" s="10" t="s">
        <v>227</v>
      </c>
      <c r="D39" s="8">
        <v>85000</v>
      </c>
      <c r="E39" s="10" t="s">
        <v>0</v>
      </c>
      <c r="F39" s="160">
        <v>150000</v>
      </c>
      <c r="G39" s="160">
        <v>150000</v>
      </c>
      <c r="H39" s="8">
        <v>150000</v>
      </c>
    </row>
    <row r="40" spans="1:8">
      <c r="A40" s="69" t="s">
        <v>44</v>
      </c>
      <c r="B40" s="7" t="s">
        <v>45</v>
      </c>
      <c r="C40" s="10" t="s">
        <v>227</v>
      </c>
      <c r="D40" s="8">
        <v>988950</v>
      </c>
      <c r="E40" s="10" t="s">
        <v>0</v>
      </c>
      <c r="F40" s="160">
        <v>800000</v>
      </c>
      <c r="G40" s="160">
        <v>875000</v>
      </c>
      <c r="H40" s="8">
        <v>875000</v>
      </c>
    </row>
    <row r="41" spans="1:8">
      <c r="A41" s="69" t="s">
        <v>46</v>
      </c>
      <c r="B41" s="7" t="s">
        <v>47</v>
      </c>
      <c r="C41" s="10" t="s">
        <v>227</v>
      </c>
      <c r="D41" s="8">
        <v>1000</v>
      </c>
      <c r="E41" s="10" t="s">
        <v>0</v>
      </c>
      <c r="F41" s="160">
        <v>50000</v>
      </c>
      <c r="G41" s="160">
        <v>0</v>
      </c>
      <c r="H41" s="8"/>
    </row>
    <row r="42" spans="1:8">
      <c r="A42" s="69" t="s">
        <v>48</v>
      </c>
      <c r="B42" s="7" t="s">
        <v>49</v>
      </c>
      <c r="C42" s="10" t="s">
        <v>227</v>
      </c>
      <c r="D42" s="8">
        <v>150000</v>
      </c>
      <c r="E42" s="10" t="s">
        <v>0</v>
      </c>
      <c r="F42" s="160">
        <v>100000</v>
      </c>
      <c r="G42" s="160">
        <v>100000</v>
      </c>
      <c r="H42" s="8">
        <v>100000</v>
      </c>
    </row>
    <row r="43" spans="1:8">
      <c r="A43" s="69" t="s">
        <v>50</v>
      </c>
      <c r="B43" s="7" t="s">
        <v>51</v>
      </c>
      <c r="C43" s="10" t="s">
        <v>227</v>
      </c>
      <c r="D43" s="8">
        <v>165000</v>
      </c>
      <c r="E43" s="10" t="s">
        <v>0</v>
      </c>
      <c r="F43" s="160">
        <v>200000</v>
      </c>
      <c r="G43" s="160">
        <v>200000</v>
      </c>
      <c r="H43" s="8">
        <v>200000</v>
      </c>
    </row>
    <row r="44" spans="1:8">
      <c r="A44" s="69" t="s">
        <v>52</v>
      </c>
      <c r="B44" s="7" t="s">
        <v>53</v>
      </c>
      <c r="C44" s="10" t="s">
        <v>227</v>
      </c>
      <c r="D44" s="8">
        <v>176000</v>
      </c>
      <c r="E44" s="10" t="s">
        <v>0</v>
      </c>
      <c r="F44" s="160">
        <v>212625</v>
      </c>
      <c r="G44" s="160">
        <v>250000</v>
      </c>
      <c r="H44" s="8">
        <v>250000</v>
      </c>
    </row>
    <row r="45" spans="1:8">
      <c r="A45" s="68" t="s">
        <v>57</v>
      </c>
      <c r="B45" s="6" t="s">
        <v>58</v>
      </c>
      <c r="C45" s="5" t="s">
        <v>227</v>
      </c>
      <c r="D45" s="1">
        <f>D47+D48+D49+D50+D51</f>
        <v>306000</v>
      </c>
      <c r="E45" s="5" t="s">
        <v>0</v>
      </c>
      <c r="F45" s="159">
        <f>F47+F48+F49+F50+F51</f>
        <v>313000</v>
      </c>
      <c r="G45" s="159">
        <f>G47+G48+G49+G50+G51</f>
        <v>343000</v>
      </c>
      <c r="H45" s="1">
        <f>H47+H48+H49+H50+H51</f>
        <v>343000</v>
      </c>
    </row>
    <row r="46" spans="1:8" s="44" customFormat="1">
      <c r="A46" s="105">
        <v>3241</v>
      </c>
      <c r="B46" s="106" t="s">
        <v>55</v>
      </c>
      <c r="C46" s="107" t="s">
        <v>227</v>
      </c>
      <c r="D46" s="108">
        <v>54632</v>
      </c>
      <c r="E46" s="109" t="s">
        <v>264</v>
      </c>
      <c r="F46" s="162"/>
      <c r="G46" s="162"/>
      <c r="H46" s="108"/>
    </row>
    <row r="47" spans="1:8">
      <c r="A47" s="69" t="s">
        <v>61</v>
      </c>
      <c r="B47" s="7" t="s">
        <v>62</v>
      </c>
      <c r="C47" s="10" t="s">
        <v>227</v>
      </c>
      <c r="D47" s="8">
        <v>100000</v>
      </c>
      <c r="E47" s="10" t="s">
        <v>0</v>
      </c>
      <c r="F47" s="160">
        <v>50000</v>
      </c>
      <c r="G47" s="160">
        <v>50000</v>
      </c>
      <c r="H47" s="8">
        <v>50000</v>
      </c>
    </row>
    <row r="48" spans="1:8">
      <c r="A48" s="69" t="s">
        <v>63</v>
      </c>
      <c r="B48" s="7" t="s">
        <v>64</v>
      </c>
      <c r="C48" s="10" t="s">
        <v>227</v>
      </c>
      <c r="D48" s="8">
        <v>5000</v>
      </c>
      <c r="E48" s="10" t="s">
        <v>0</v>
      </c>
      <c r="F48" s="160">
        <v>10000</v>
      </c>
      <c r="G48" s="160">
        <v>0</v>
      </c>
      <c r="H48" s="8"/>
    </row>
    <row r="49" spans="1:8">
      <c r="A49" s="69" t="s">
        <v>65</v>
      </c>
      <c r="B49" s="7" t="s">
        <v>66</v>
      </c>
      <c r="C49" s="10" t="s">
        <v>227</v>
      </c>
      <c r="D49" s="8">
        <v>160000</v>
      </c>
      <c r="E49" s="10" t="s">
        <v>0</v>
      </c>
      <c r="F49" s="160">
        <v>160000</v>
      </c>
      <c r="G49" s="160">
        <v>200000</v>
      </c>
      <c r="H49" s="8">
        <v>200000</v>
      </c>
    </row>
    <row r="50" spans="1:8">
      <c r="A50" s="69" t="s">
        <v>67</v>
      </c>
      <c r="B50" s="7" t="s">
        <v>68</v>
      </c>
      <c r="C50" s="10" t="s">
        <v>227</v>
      </c>
      <c r="D50" s="8">
        <v>40000</v>
      </c>
      <c r="E50" s="10" t="s">
        <v>0</v>
      </c>
      <c r="F50" s="160">
        <v>92000</v>
      </c>
      <c r="G50" s="160">
        <v>92000</v>
      </c>
      <c r="H50" s="8">
        <v>92000</v>
      </c>
    </row>
    <row r="51" spans="1:8">
      <c r="A51" s="69" t="s">
        <v>69</v>
      </c>
      <c r="B51" s="7" t="s">
        <v>58</v>
      </c>
      <c r="C51" s="10" t="s">
        <v>227</v>
      </c>
      <c r="D51" s="8">
        <v>1000</v>
      </c>
      <c r="E51" s="10" t="s">
        <v>0</v>
      </c>
      <c r="F51" s="160">
        <v>1000</v>
      </c>
      <c r="G51" s="160">
        <v>1000</v>
      </c>
      <c r="H51" s="8">
        <v>1000</v>
      </c>
    </row>
    <row r="52" spans="1:8">
      <c r="A52" s="68" t="s">
        <v>70</v>
      </c>
      <c r="B52" s="6" t="s">
        <v>71</v>
      </c>
      <c r="C52" s="5" t="s">
        <v>227</v>
      </c>
      <c r="D52" s="1">
        <f>D53+D54+D55</f>
        <v>5000</v>
      </c>
      <c r="E52" s="5" t="s">
        <v>0</v>
      </c>
      <c r="F52" s="159">
        <f>F53+F54+F55</f>
        <v>5000</v>
      </c>
      <c r="G52" s="159">
        <f>G53+G54+G55</f>
        <v>5000</v>
      </c>
      <c r="H52" s="1">
        <f>H53+H54+H55</f>
        <v>5000</v>
      </c>
    </row>
    <row r="53" spans="1:8">
      <c r="A53" s="69" t="s">
        <v>72</v>
      </c>
      <c r="B53" s="7" t="s">
        <v>73</v>
      </c>
      <c r="C53" s="10" t="s">
        <v>227</v>
      </c>
      <c r="D53" s="8">
        <v>4000</v>
      </c>
      <c r="E53" s="10" t="s">
        <v>0</v>
      </c>
      <c r="F53" s="160">
        <v>4000</v>
      </c>
      <c r="G53" s="160">
        <v>4000</v>
      </c>
      <c r="H53" s="8">
        <v>4000</v>
      </c>
    </row>
    <row r="54" spans="1:8">
      <c r="A54" s="69" t="s">
        <v>74</v>
      </c>
      <c r="B54" s="7" t="s">
        <v>75</v>
      </c>
      <c r="C54" s="10" t="s">
        <v>227</v>
      </c>
      <c r="D54" s="8">
        <v>500</v>
      </c>
      <c r="E54" s="10" t="s">
        <v>0</v>
      </c>
      <c r="F54" s="160">
        <v>500</v>
      </c>
      <c r="G54" s="160">
        <v>500</v>
      </c>
      <c r="H54" s="8">
        <v>500</v>
      </c>
    </row>
    <row r="55" spans="1:8">
      <c r="A55" s="69" t="s">
        <v>76</v>
      </c>
      <c r="B55" s="7" t="s">
        <v>77</v>
      </c>
      <c r="C55" s="10" t="s">
        <v>227</v>
      </c>
      <c r="D55" s="8">
        <v>500</v>
      </c>
      <c r="E55" s="10" t="s">
        <v>0</v>
      </c>
      <c r="F55" s="160">
        <v>500</v>
      </c>
      <c r="G55" s="160">
        <v>500</v>
      </c>
      <c r="H55" s="8">
        <v>500</v>
      </c>
    </row>
    <row r="56" spans="1:8">
      <c r="A56" s="67" t="s">
        <v>123</v>
      </c>
      <c r="B56" s="11" t="s">
        <v>124</v>
      </c>
      <c r="C56" s="13"/>
      <c r="D56" s="12">
        <f>D59</f>
        <v>5000</v>
      </c>
      <c r="E56" s="13" t="s">
        <v>0</v>
      </c>
      <c r="F56" s="158">
        <f>F59+F57</f>
        <v>120000</v>
      </c>
      <c r="G56" s="158">
        <f t="shared" ref="G56:H56" si="1">G59+G57</f>
        <v>120000</v>
      </c>
      <c r="H56" s="158">
        <f t="shared" si="1"/>
        <v>860000</v>
      </c>
    </row>
    <row r="57" spans="1:8" s="44" customFormat="1">
      <c r="A57" s="477" t="s">
        <v>34</v>
      </c>
      <c r="B57" s="478" t="s">
        <v>35</v>
      </c>
      <c r="C57" s="5" t="s">
        <v>227</v>
      </c>
      <c r="D57" s="1">
        <v>0</v>
      </c>
      <c r="E57" s="5" t="s">
        <v>0</v>
      </c>
      <c r="F57" s="159">
        <f>SUM(F58)</f>
        <v>60000</v>
      </c>
      <c r="G57" s="159">
        <f t="shared" ref="G57:H57" si="2">SUM(G58)</f>
        <v>60000</v>
      </c>
      <c r="H57" s="159">
        <f t="shared" si="2"/>
        <v>60000</v>
      </c>
    </row>
    <row r="58" spans="1:8" s="44" customFormat="1">
      <c r="A58" s="479">
        <v>3237</v>
      </c>
      <c r="B58" s="483" t="s">
        <v>49</v>
      </c>
      <c r="C58" s="480" t="s">
        <v>227</v>
      </c>
      <c r="D58" s="482">
        <v>0</v>
      </c>
      <c r="E58" s="480" t="s">
        <v>0</v>
      </c>
      <c r="F58" s="481">
        <v>60000</v>
      </c>
      <c r="G58" s="481">
        <v>60000</v>
      </c>
      <c r="H58" s="482">
        <v>60000</v>
      </c>
    </row>
    <row r="59" spans="1:8">
      <c r="A59" s="68" t="s">
        <v>88</v>
      </c>
      <c r="B59" s="6" t="s">
        <v>89</v>
      </c>
      <c r="C59" s="5" t="s">
        <v>227</v>
      </c>
      <c r="D59" s="1">
        <f t="shared" ref="D59:H59" si="3">D60</f>
        <v>5000</v>
      </c>
      <c r="E59" s="5" t="s">
        <v>0</v>
      </c>
      <c r="F59" s="159">
        <f t="shared" si="3"/>
        <v>60000</v>
      </c>
      <c r="G59" s="159">
        <f t="shared" si="3"/>
        <v>60000</v>
      </c>
      <c r="H59" s="1">
        <f t="shared" si="3"/>
        <v>800000</v>
      </c>
    </row>
    <row r="60" spans="1:8">
      <c r="A60" s="69" t="s">
        <v>96</v>
      </c>
      <c r="B60" s="7" t="s">
        <v>97</v>
      </c>
      <c r="C60" s="10" t="s">
        <v>227</v>
      </c>
      <c r="D60" s="8">
        <v>5000</v>
      </c>
      <c r="E60" s="10" t="s">
        <v>0</v>
      </c>
      <c r="F60" s="160">
        <v>60000</v>
      </c>
      <c r="G60" s="160">
        <v>60000</v>
      </c>
      <c r="H60" s="8">
        <v>800000</v>
      </c>
    </row>
    <row r="61" spans="1:8">
      <c r="A61" s="67" t="s">
        <v>125</v>
      </c>
      <c r="B61" s="11" t="s">
        <v>126</v>
      </c>
      <c r="C61" s="13"/>
      <c r="D61" s="12">
        <f>D62+D66</f>
        <v>5000</v>
      </c>
      <c r="E61" s="13" t="s">
        <v>0</v>
      </c>
      <c r="F61" s="158">
        <f>F62+F66</f>
        <v>25000</v>
      </c>
      <c r="G61" s="158">
        <f>G62+G66</f>
        <v>25000</v>
      </c>
      <c r="H61" s="12">
        <f>H62+H66</f>
        <v>55000</v>
      </c>
    </row>
    <row r="62" spans="1:8">
      <c r="A62" s="68" t="s">
        <v>88</v>
      </c>
      <c r="B62" s="6" t="s">
        <v>89</v>
      </c>
      <c r="C62" s="5" t="s">
        <v>227</v>
      </c>
      <c r="D62" s="1">
        <f>D63+D64+D65</f>
        <v>5000</v>
      </c>
      <c r="E62" s="5" t="s">
        <v>0</v>
      </c>
      <c r="F62" s="159">
        <f>F63+F64+F65</f>
        <v>15000</v>
      </c>
      <c r="G62" s="159">
        <f>G63+G64+G65</f>
        <v>15000</v>
      </c>
      <c r="H62" s="1">
        <f>H63+H64+H65</f>
        <v>45000</v>
      </c>
    </row>
    <row r="63" spans="1:8">
      <c r="A63" s="69" t="s">
        <v>90</v>
      </c>
      <c r="B63" s="7" t="s">
        <v>91</v>
      </c>
      <c r="C63" s="10" t="s">
        <v>227</v>
      </c>
      <c r="D63" s="8">
        <v>5000</v>
      </c>
      <c r="E63" s="10" t="s">
        <v>0</v>
      </c>
      <c r="F63" s="160">
        <v>5000</v>
      </c>
      <c r="G63" s="160">
        <v>5000</v>
      </c>
      <c r="H63" s="8">
        <v>15000</v>
      </c>
    </row>
    <row r="64" spans="1:8">
      <c r="A64" s="69" t="s">
        <v>92</v>
      </c>
      <c r="B64" s="7" t="s">
        <v>93</v>
      </c>
      <c r="C64" s="10" t="s">
        <v>227</v>
      </c>
      <c r="D64" s="8">
        <v>0</v>
      </c>
      <c r="E64" s="10" t="s">
        <v>0</v>
      </c>
      <c r="F64" s="160">
        <v>5000</v>
      </c>
      <c r="G64" s="160">
        <v>5000</v>
      </c>
      <c r="H64" s="8">
        <v>15000</v>
      </c>
    </row>
    <row r="65" spans="1:8">
      <c r="A65" s="69" t="s">
        <v>94</v>
      </c>
      <c r="B65" s="7" t="s">
        <v>95</v>
      </c>
      <c r="C65" s="10" t="s">
        <v>227</v>
      </c>
      <c r="D65" s="8">
        <v>0</v>
      </c>
      <c r="E65" s="10" t="s">
        <v>0</v>
      </c>
      <c r="F65" s="160">
        <v>5000</v>
      </c>
      <c r="G65" s="160">
        <v>5000</v>
      </c>
      <c r="H65" s="8">
        <v>15000</v>
      </c>
    </row>
    <row r="66" spans="1:8">
      <c r="A66" s="68" t="s">
        <v>127</v>
      </c>
      <c r="B66" s="6" t="s">
        <v>128</v>
      </c>
      <c r="C66" s="5" t="s">
        <v>227</v>
      </c>
      <c r="D66" s="1">
        <f>D67</f>
        <v>0</v>
      </c>
      <c r="E66" s="5" t="s">
        <v>0</v>
      </c>
      <c r="F66" s="159">
        <f>F67</f>
        <v>10000</v>
      </c>
      <c r="G66" s="159">
        <f>G67</f>
        <v>10000</v>
      </c>
      <c r="H66" s="1">
        <f>H67</f>
        <v>10000</v>
      </c>
    </row>
    <row r="67" spans="1:8">
      <c r="A67" s="69" t="s">
        <v>129</v>
      </c>
      <c r="B67" s="7" t="s">
        <v>128</v>
      </c>
      <c r="C67" s="10" t="s">
        <v>227</v>
      </c>
      <c r="D67" s="8">
        <v>0</v>
      </c>
      <c r="E67" s="10" t="s">
        <v>0</v>
      </c>
      <c r="F67" s="160">
        <v>10000</v>
      </c>
      <c r="G67" s="160">
        <v>10000</v>
      </c>
      <c r="H67" s="8">
        <v>10000</v>
      </c>
    </row>
    <row r="68" spans="1:8">
      <c r="A68" s="67" t="s">
        <v>130</v>
      </c>
      <c r="B68" s="11" t="s">
        <v>98</v>
      </c>
      <c r="C68" s="13"/>
      <c r="D68" s="12">
        <f t="shared" ref="D68:H69" si="4">D69</f>
        <v>400000</v>
      </c>
      <c r="E68" s="13" t="s">
        <v>0</v>
      </c>
      <c r="F68" s="158">
        <f t="shared" si="4"/>
        <v>390000</v>
      </c>
      <c r="G68" s="158">
        <f t="shared" si="4"/>
        <v>420000</v>
      </c>
      <c r="H68" s="12">
        <f t="shared" si="4"/>
        <v>105000</v>
      </c>
    </row>
    <row r="69" spans="1:8">
      <c r="A69" s="68" t="s">
        <v>34</v>
      </c>
      <c r="B69" s="6" t="s">
        <v>35</v>
      </c>
      <c r="C69" s="5" t="s">
        <v>227</v>
      </c>
      <c r="D69" s="1">
        <f t="shared" si="4"/>
        <v>400000</v>
      </c>
      <c r="E69" s="5" t="s">
        <v>0</v>
      </c>
      <c r="F69" s="159">
        <f t="shared" si="4"/>
        <v>390000</v>
      </c>
      <c r="G69" s="159">
        <f t="shared" si="4"/>
        <v>420000</v>
      </c>
      <c r="H69" s="1">
        <f t="shared" si="4"/>
        <v>105000</v>
      </c>
    </row>
    <row r="70" spans="1:8">
      <c r="A70" s="69" t="s">
        <v>44</v>
      </c>
      <c r="B70" s="7" t="s">
        <v>45</v>
      </c>
      <c r="C70" s="10" t="s">
        <v>227</v>
      </c>
      <c r="D70" s="8">
        <v>400000</v>
      </c>
      <c r="E70" s="10" t="s">
        <v>0</v>
      </c>
      <c r="F70" s="160">
        <v>390000</v>
      </c>
      <c r="G70" s="160">
        <v>420000</v>
      </c>
      <c r="H70" s="8">
        <v>105000</v>
      </c>
    </row>
    <row r="71" spans="1:8">
      <c r="A71" s="67" t="s">
        <v>131</v>
      </c>
      <c r="B71" s="11" t="s">
        <v>132</v>
      </c>
      <c r="C71" s="13"/>
      <c r="D71" s="12">
        <f>D72+D74</f>
        <v>170000</v>
      </c>
      <c r="E71" s="13" t="s">
        <v>0</v>
      </c>
      <c r="F71" s="158">
        <f>F72+F74</f>
        <v>244375</v>
      </c>
      <c r="G71" s="158">
        <f>G72+G74</f>
        <v>543212</v>
      </c>
      <c r="H71" s="12">
        <f>H72+H74</f>
        <v>618527</v>
      </c>
    </row>
    <row r="72" spans="1:8">
      <c r="A72" s="68" t="s">
        <v>88</v>
      </c>
      <c r="B72" s="6" t="s">
        <v>89</v>
      </c>
      <c r="C72" s="5" t="s">
        <v>227</v>
      </c>
      <c r="D72" s="1">
        <f>D73</f>
        <v>95000</v>
      </c>
      <c r="E72" s="5" t="s">
        <v>0</v>
      </c>
      <c r="F72" s="159">
        <f>F73</f>
        <v>94375</v>
      </c>
      <c r="G72" s="159">
        <f>G73</f>
        <v>94375</v>
      </c>
      <c r="H72" s="1">
        <f>H73</f>
        <v>150000</v>
      </c>
    </row>
    <row r="73" spans="1:8">
      <c r="A73" s="69" t="s">
        <v>90</v>
      </c>
      <c r="B73" s="7" t="s">
        <v>91</v>
      </c>
      <c r="C73" s="10" t="s">
        <v>227</v>
      </c>
      <c r="D73" s="8">
        <v>95000</v>
      </c>
      <c r="E73" s="10" t="s">
        <v>0</v>
      </c>
      <c r="F73" s="160">
        <v>94375</v>
      </c>
      <c r="G73" s="160">
        <v>94375</v>
      </c>
      <c r="H73" s="8">
        <v>150000</v>
      </c>
    </row>
    <row r="74" spans="1:8">
      <c r="A74" s="68" t="s">
        <v>140</v>
      </c>
      <c r="B74" s="6" t="s">
        <v>181</v>
      </c>
      <c r="C74" s="5" t="s">
        <v>227</v>
      </c>
      <c r="D74" s="1">
        <f>D75</f>
        <v>75000</v>
      </c>
      <c r="E74" s="5" t="s">
        <v>0</v>
      </c>
      <c r="F74" s="159">
        <f>F75</f>
        <v>150000</v>
      </c>
      <c r="G74" s="159">
        <f>G75</f>
        <v>448837</v>
      </c>
      <c r="H74" s="1">
        <f>H75</f>
        <v>468527</v>
      </c>
    </row>
    <row r="75" spans="1:8">
      <c r="A75" s="69" t="s">
        <v>142</v>
      </c>
      <c r="B75" s="7" t="s">
        <v>182</v>
      </c>
      <c r="C75" s="10" t="s">
        <v>227</v>
      </c>
      <c r="D75" s="8">
        <v>75000</v>
      </c>
      <c r="E75" s="10" t="s">
        <v>0</v>
      </c>
      <c r="F75" s="160">
        <v>150000</v>
      </c>
      <c r="G75" s="160">
        <v>448837</v>
      </c>
      <c r="H75" s="8">
        <v>468527</v>
      </c>
    </row>
  </sheetData>
  <mergeCells count="2">
    <mergeCell ref="A12:H12"/>
    <mergeCell ref="A3:C11"/>
  </mergeCells>
  <printOptions horizont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>
    <oddFooter>&amp;CD Z M&amp;R&amp;P</oddFooter>
  </headerFooter>
  <rowBreaks count="2" manualBreakCount="2">
    <brk id="34" max="7" man="1"/>
    <brk id="6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110" zoomScaleNormal="110" zoomScaleSheetLayoutView="100" workbookViewId="0">
      <pane ySplit="12" topLeftCell="A13" activePane="bottomLeft" state="frozen"/>
      <selection pane="bottomLeft" activeCell="G2" sqref="G2"/>
    </sheetView>
  </sheetViews>
  <sheetFormatPr defaultRowHeight="15"/>
  <cols>
    <col min="1" max="1" width="10.7109375" style="66" customWidth="1"/>
    <col min="2" max="2" width="51.5703125" customWidth="1"/>
    <col min="3" max="3" width="5.7109375" customWidth="1"/>
    <col min="4" max="4" width="14.7109375" style="44" customWidth="1"/>
    <col min="5" max="5" width="5.7109375" customWidth="1"/>
    <col min="6" max="7" width="16.7109375" style="44" customWidth="1"/>
    <col min="8" max="8" width="16.7109375" customWidth="1"/>
    <col min="9" max="9" width="11.85546875" bestFit="1" customWidth="1"/>
    <col min="11" max="11" width="11.7109375" bestFit="1" customWidth="1"/>
  </cols>
  <sheetData>
    <row r="1" spans="1:11" ht="25.5" customHeight="1">
      <c r="A1" s="91"/>
      <c r="B1" s="92"/>
      <c r="C1" s="85" t="s">
        <v>220</v>
      </c>
      <c r="D1" s="85" t="s">
        <v>302</v>
      </c>
      <c r="E1" s="93" t="s">
        <v>180</v>
      </c>
      <c r="F1" s="80" t="s">
        <v>398</v>
      </c>
      <c r="G1" s="80" t="s">
        <v>399</v>
      </c>
      <c r="H1" s="316" t="s">
        <v>400</v>
      </c>
    </row>
    <row r="2" spans="1:11" ht="25.5" customHeight="1">
      <c r="A2" s="86" t="s">
        <v>133</v>
      </c>
      <c r="B2" s="90" t="s">
        <v>134</v>
      </c>
      <c r="C2" s="88"/>
      <c r="D2" s="89">
        <f>D13+D57+D64</f>
        <v>9192000</v>
      </c>
      <c r="E2" s="88"/>
      <c r="F2" s="117">
        <f>F13+F57+F64</f>
        <v>9745271</v>
      </c>
      <c r="G2" s="89">
        <f>G13+G57+G64</f>
        <v>9745271</v>
      </c>
      <c r="H2" s="89">
        <f>H13+H57+H64</f>
        <v>9745271</v>
      </c>
    </row>
    <row r="3" spans="1:11" ht="15" customHeight="1">
      <c r="A3" s="599"/>
      <c r="B3" s="599"/>
      <c r="C3" s="600"/>
      <c r="D3" s="25">
        <f>D13+D64</f>
        <v>8992000</v>
      </c>
      <c r="E3" s="94">
        <v>11</v>
      </c>
      <c r="F3" s="152">
        <f>F13+F64</f>
        <v>9493271</v>
      </c>
      <c r="G3" s="25">
        <f>G13+G64</f>
        <v>9493271</v>
      </c>
      <c r="H3" s="25">
        <f>H13+H64</f>
        <v>9493271</v>
      </c>
      <c r="I3" s="26"/>
      <c r="J3" s="44"/>
      <c r="K3" s="26"/>
    </row>
    <row r="4" spans="1:11">
      <c r="A4" s="601"/>
      <c r="B4" s="601"/>
      <c r="C4" s="602"/>
      <c r="D4" s="25">
        <f>D58</f>
        <v>8000</v>
      </c>
      <c r="E4" s="24">
        <v>12</v>
      </c>
      <c r="F4" s="152">
        <f>F58</f>
        <v>60000</v>
      </c>
      <c r="G4" s="25">
        <f>G58</f>
        <v>60000</v>
      </c>
      <c r="H4" s="25">
        <f>H58</f>
        <v>60000</v>
      </c>
      <c r="I4" s="44"/>
      <c r="J4" s="44"/>
      <c r="K4" s="44"/>
    </row>
    <row r="5" spans="1:11">
      <c r="A5" s="601"/>
      <c r="B5" s="601"/>
      <c r="C5" s="602"/>
      <c r="D5" s="33">
        <f>D3+D4</f>
        <v>9000000</v>
      </c>
      <c r="E5" s="34" t="s">
        <v>267</v>
      </c>
      <c r="F5" s="153">
        <f>F3+F4</f>
        <v>9553271</v>
      </c>
      <c r="G5" s="33">
        <f>G3+G4</f>
        <v>9553271</v>
      </c>
      <c r="H5" s="33">
        <f>H3+H4</f>
        <v>9553271</v>
      </c>
      <c r="I5" s="44"/>
      <c r="J5" s="44"/>
      <c r="K5" s="44"/>
    </row>
    <row r="6" spans="1:11">
      <c r="A6" s="601"/>
      <c r="B6" s="601"/>
      <c r="C6" s="602"/>
      <c r="D6" s="25">
        <v>0</v>
      </c>
      <c r="E6" s="24" t="s">
        <v>216</v>
      </c>
      <c r="F6" s="152">
        <v>0</v>
      </c>
      <c r="G6" s="25">
        <v>0</v>
      </c>
      <c r="H6" s="25">
        <v>0</v>
      </c>
      <c r="I6" s="44"/>
      <c r="J6" s="44"/>
      <c r="K6" s="44"/>
    </row>
    <row r="7" spans="1:11">
      <c r="A7" s="601"/>
      <c r="B7" s="601"/>
      <c r="C7" s="602"/>
      <c r="D7" s="25">
        <f>D61</f>
        <v>192000</v>
      </c>
      <c r="E7" s="24" t="s">
        <v>235</v>
      </c>
      <c r="F7" s="152">
        <f>F61</f>
        <v>192000</v>
      </c>
      <c r="G7" s="25">
        <f>G61</f>
        <v>192000</v>
      </c>
      <c r="H7" s="25">
        <f>H61</f>
        <v>192000</v>
      </c>
      <c r="I7" s="44"/>
      <c r="J7" s="44"/>
      <c r="K7" s="44"/>
    </row>
    <row r="8" spans="1:11">
      <c r="A8" s="601"/>
      <c r="B8" s="601"/>
      <c r="C8" s="602"/>
      <c r="D8" s="25">
        <v>0</v>
      </c>
      <c r="E8" s="24" t="s">
        <v>264</v>
      </c>
      <c r="F8" s="152">
        <v>0</v>
      </c>
      <c r="G8" s="25">
        <v>0</v>
      </c>
      <c r="H8" s="25">
        <v>0</v>
      </c>
      <c r="I8" s="44"/>
      <c r="J8" s="44"/>
      <c r="K8" s="44"/>
    </row>
    <row r="9" spans="1:11">
      <c r="A9" s="601"/>
      <c r="B9" s="601"/>
      <c r="C9" s="602"/>
      <c r="D9" s="25">
        <v>0</v>
      </c>
      <c r="E9" s="24" t="s">
        <v>265</v>
      </c>
      <c r="F9" s="152">
        <v>0</v>
      </c>
      <c r="G9" s="25">
        <v>0</v>
      </c>
      <c r="H9" s="25">
        <v>0</v>
      </c>
      <c r="I9" s="44"/>
      <c r="J9" s="44"/>
      <c r="K9" s="44"/>
    </row>
    <row r="10" spans="1:11">
      <c r="A10" s="601"/>
      <c r="B10" s="601"/>
      <c r="C10" s="602"/>
      <c r="D10" s="25">
        <v>0</v>
      </c>
      <c r="E10" s="24" t="s">
        <v>234</v>
      </c>
      <c r="F10" s="152">
        <v>0</v>
      </c>
      <c r="G10" s="25">
        <v>0</v>
      </c>
      <c r="H10" s="25">
        <v>0</v>
      </c>
      <c r="I10" s="44"/>
      <c r="J10" s="44"/>
      <c r="K10" s="44"/>
    </row>
    <row r="11" spans="1:11">
      <c r="A11" s="613"/>
      <c r="B11" s="613"/>
      <c r="C11" s="614"/>
      <c r="D11" s="25">
        <v>0</v>
      </c>
      <c r="E11" s="24" t="s">
        <v>292</v>
      </c>
      <c r="F11" s="152">
        <v>0</v>
      </c>
      <c r="G11" s="25">
        <v>0</v>
      </c>
      <c r="H11" s="25">
        <v>0</v>
      </c>
      <c r="I11" s="44"/>
      <c r="J11" s="44"/>
      <c r="K11" s="44"/>
    </row>
    <row r="12" spans="1:11">
      <c r="A12" s="609" t="s">
        <v>223</v>
      </c>
      <c r="B12" s="610"/>
      <c r="C12" s="610"/>
      <c r="D12" s="610"/>
      <c r="E12" s="610"/>
      <c r="F12" s="612"/>
      <c r="G12" s="611"/>
      <c r="H12" s="610"/>
    </row>
    <row r="13" spans="1:11">
      <c r="A13" s="67" t="s">
        <v>135</v>
      </c>
      <c r="B13" s="11" t="s">
        <v>136</v>
      </c>
      <c r="C13" s="13"/>
      <c r="D13" s="392">
        <f>D14+D17+D19+D22+D26+D32+D42+D50+D54</f>
        <v>8572000</v>
      </c>
      <c r="E13" s="13" t="s">
        <v>0</v>
      </c>
      <c r="F13" s="158">
        <f>F14+F17+F19+F22+F26+F32+F42+F50+F54</f>
        <v>9113271</v>
      </c>
      <c r="G13" s="392">
        <f>G14+G17+G19+G22+G26+G32+G42+G50+G54</f>
        <v>9113271</v>
      </c>
      <c r="H13" s="392">
        <f>H14+H17+H19+H22+H26+H32+H42+H50+H54</f>
        <v>9113271</v>
      </c>
    </row>
    <row r="14" spans="1:11">
      <c r="A14" s="68" t="s">
        <v>1</v>
      </c>
      <c r="B14" s="6" t="s">
        <v>2</v>
      </c>
      <c r="C14" s="5" t="s">
        <v>227</v>
      </c>
      <c r="D14" s="393">
        <f>D15+D16</f>
        <v>5425000</v>
      </c>
      <c r="E14" s="5" t="s">
        <v>0</v>
      </c>
      <c r="F14" s="159">
        <f>F15+F16</f>
        <v>5715453</v>
      </c>
      <c r="G14" s="393">
        <f>G15+G16</f>
        <v>5765453</v>
      </c>
      <c r="H14" s="393">
        <f>H15+H16</f>
        <v>5815453</v>
      </c>
    </row>
    <row r="15" spans="1:11">
      <c r="A15" s="69" t="s">
        <v>3</v>
      </c>
      <c r="B15" s="7" t="s">
        <v>4</v>
      </c>
      <c r="C15" s="9" t="s">
        <v>227</v>
      </c>
      <c r="D15" s="394">
        <v>5425000</v>
      </c>
      <c r="E15" s="9" t="s">
        <v>0</v>
      </c>
      <c r="F15" s="410">
        <v>5715453</v>
      </c>
      <c r="G15" s="394">
        <v>5765453</v>
      </c>
      <c r="H15" s="394">
        <v>5815453</v>
      </c>
    </row>
    <row r="16" spans="1:11">
      <c r="A16" s="69" t="s">
        <v>5</v>
      </c>
      <c r="B16" s="7" t="s">
        <v>6</v>
      </c>
      <c r="C16" s="9" t="s">
        <v>227</v>
      </c>
      <c r="D16" s="394">
        <v>0</v>
      </c>
      <c r="E16" s="9" t="s">
        <v>0</v>
      </c>
      <c r="F16" s="410">
        <v>0</v>
      </c>
      <c r="G16" s="394">
        <v>0</v>
      </c>
      <c r="H16" s="394">
        <v>0</v>
      </c>
    </row>
    <row r="17" spans="1:8">
      <c r="A17" s="68" t="s">
        <v>7</v>
      </c>
      <c r="B17" s="6" t="s">
        <v>8</v>
      </c>
      <c r="C17" s="5" t="s">
        <v>227</v>
      </c>
      <c r="D17" s="393">
        <f>D18</f>
        <v>215000</v>
      </c>
      <c r="E17" s="5" t="s">
        <v>0</v>
      </c>
      <c r="F17" s="159">
        <f>F18</f>
        <v>160000</v>
      </c>
      <c r="G17" s="393">
        <f>G18</f>
        <v>165000</v>
      </c>
      <c r="H17" s="393">
        <f>H18</f>
        <v>170000</v>
      </c>
    </row>
    <row r="18" spans="1:8">
      <c r="A18" s="69" t="s">
        <v>9</v>
      </c>
      <c r="B18" s="7" t="s">
        <v>8</v>
      </c>
      <c r="C18" s="9" t="s">
        <v>227</v>
      </c>
      <c r="D18" s="394">
        <v>215000</v>
      </c>
      <c r="E18" s="9" t="s">
        <v>0</v>
      </c>
      <c r="F18" s="410">
        <v>160000</v>
      </c>
      <c r="G18" s="394">
        <v>165000</v>
      </c>
      <c r="H18" s="394">
        <v>170000</v>
      </c>
    </row>
    <row r="19" spans="1:8">
      <c r="A19" s="68" t="s">
        <v>10</v>
      </c>
      <c r="B19" s="6" t="s">
        <v>11</v>
      </c>
      <c r="C19" s="5" t="s">
        <v>227</v>
      </c>
      <c r="D19" s="393">
        <f>D20+D21</f>
        <v>954000</v>
      </c>
      <c r="E19" s="5" t="s">
        <v>0</v>
      </c>
      <c r="F19" s="159">
        <f>F20+F21</f>
        <v>973818</v>
      </c>
      <c r="G19" s="393">
        <f>G20+G21</f>
        <v>982418</v>
      </c>
      <c r="H19" s="393">
        <f>H20+H21</f>
        <v>991018</v>
      </c>
    </row>
    <row r="20" spans="1:8">
      <c r="A20" s="69" t="s">
        <v>12</v>
      </c>
      <c r="B20" s="7" t="s">
        <v>13</v>
      </c>
      <c r="C20" s="9" t="s">
        <v>227</v>
      </c>
      <c r="D20" s="394">
        <v>860000</v>
      </c>
      <c r="E20" s="9" t="s">
        <v>0</v>
      </c>
      <c r="F20" s="410">
        <v>877045</v>
      </c>
      <c r="G20" s="394">
        <v>884795</v>
      </c>
      <c r="H20" s="394">
        <v>892545</v>
      </c>
    </row>
    <row r="21" spans="1:8">
      <c r="A21" s="69" t="s">
        <v>14</v>
      </c>
      <c r="B21" s="7" t="s">
        <v>15</v>
      </c>
      <c r="C21" s="9" t="s">
        <v>227</v>
      </c>
      <c r="D21" s="394">
        <v>94000</v>
      </c>
      <c r="E21" s="9" t="s">
        <v>0</v>
      </c>
      <c r="F21" s="410">
        <v>96773</v>
      </c>
      <c r="G21" s="394">
        <v>97623</v>
      </c>
      <c r="H21" s="394">
        <v>98473</v>
      </c>
    </row>
    <row r="22" spans="1:8">
      <c r="A22" s="68" t="s">
        <v>16</v>
      </c>
      <c r="B22" s="6" t="s">
        <v>17</v>
      </c>
      <c r="C22" s="5" t="s">
        <v>227</v>
      </c>
      <c r="D22" s="393">
        <f>D23+D24+D25</f>
        <v>488000</v>
      </c>
      <c r="E22" s="5" t="s">
        <v>0</v>
      </c>
      <c r="F22" s="159">
        <f>F23+F24+F25</f>
        <v>385000</v>
      </c>
      <c r="G22" s="393">
        <f>G23+G24+G25</f>
        <v>433000</v>
      </c>
      <c r="H22" s="393">
        <f>H23+H24+H25</f>
        <v>433000</v>
      </c>
    </row>
    <row r="23" spans="1:8">
      <c r="A23" s="69" t="s">
        <v>18</v>
      </c>
      <c r="B23" s="7" t="s">
        <v>19</v>
      </c>
      <c r="C23" s="9" t="s">
        <v>227</v>
      </c>
      <c r="D23" s="394">
        <v>150000</v>
      </c>
      <c r="E23" s="9" t="s">
        <v>0</v>
      </c>
      <c r="F23" s="410">
        <v>80000</v>
      </c>
      <c r="G23" s="394">
        <v>138000</v>
      </c>
      <c r="H23" s="394">
        <v>138000</v>
      </c>
    </row>
    <row r="24" spans="1:8">
      <c r="A24" s="69" t="s">
        <v>20</v>
      </c>
      <c r="B24" s="7" t="s">
        <v>21</v>
      </c>
      <c r="C24" s="9" t="s">
        <v>227</v>
      </c>
      <c r="D24" s="394">
        <v>310000</v>
      </c>
      <c r="E24" s="9" t="s">
        <v>0</v>
      </c>
      <c r="F24" s="410">
        <v>300000</v>
      </c>
      <c r="G24" s="394">
        <v>290000</v>
      </c>
      <c r="H24" s="394">
        <v>290000</v>
      </c>
    </row>
    <row r="25" spans="1:8">
      <c r="A25" s="69" t="s">
        <v>22</v>
      </c>
      <c r="B25" s="7" t="s">
        <v>23</v>
      </c>
      <c r="C25" s="9" t="s">
        <v>227</v>
      </c>
      <c r="D25" s="394">
        <v>28000</v>
      </c>
      <c r="E25" s="9" t="s">
        <v>0</v>
      </c>
      <c r="F25" s="410">
        <v>5000</v>
      </c>
      <c r="G25" s="394">
        <v>5000</v>
      </c>
      <c r="H25" s="394">
        <v>5000</v>
      </c>
    </row>
    <row r="26" spans="1:8">
      <c r="A26" s="68" t="s">
        <v>24</v>
      </c>
      <c r="B26" s="6" t="s">
        <v>25</v>
      </c>
      <c r="C26" s="5" t="s">
        <v>227</v>
      </c>
      <c r="D26" s="393">
        <f>D27+D28+D29+D30+D31</f>
        <v>112200</v>
      </c>
      <c r="E26" s="5" t="s">
        <v>0</v>
      </c>
      <c r="F26" s="159">
        <f>F27+F28+F29+F30+F31</f>
        <v>55400</v>
      </c>
      <c r="G26" s="393">
        <f>G27+G28+G29+G30+G31</f>
        <v>55400</v>
      </c>
      <c r="H26" s="393">
        <f>H27+H28+H29+H30+H31</f>
        <v>55400</v>
      </c>
    </row>
    <row r="27" spans="1:8">
      <c r="A27" s="69" t="s">
        <v>26</v>
      </c>
      <c r="B27" s="7" t="s">
        <v>27</v>
      </c>
      <c r="C27" s="9" t="s">
        <v>227</v>
      </c>
      <c r="D27" s="394">
        <v>100000</v>
      </c>
      <c r="E27" s="9" t="s">
        <v>0</v>
      </c>
      <c r="F27" s="410">
        <v>50200</v>
      </c>
      <c r="G27" s="394">
        <v>50200</v>
      </c>
      <c r="H27" s="394">
        <v>50200</v>
      </c>
    </row>
    <row r="28" spans="1:8">
      <c r="A28" s="69" t="s">
        <v>121</v>
      </c>
      <c r="B28" s="7" t="s">
        <v>122</v>
      </c>
      <c r="C28" s="9" t="s">
        <v>227</v>
      </c>
      <c r="D28" s="394">
        <v>7000</v>
      </c>
      <c r="E28" s="9" t="s">
        <v>0</v>
      </c>
      <c r="F28" s="410">
        <v>500</v>
      </c>
      <c r="G28" s="394">
        <v>500</v>
      </c>
      <c r="H28" s="394">
        <v>500</v>
      </c>
    </row>
    <row r="29" spans="1:8">
      <c r="A29" s="69" t="s">
        <v>28</v>
      </c>
      <c r="B29" s="7" t="s">
        <v>29</v>
      </c>
      <c r="C29" s="9" t="s">
        <v>227</v>
      </c>
      <c r="D29" s="394">
        <v>4000</v>
      </c>
      <c r="E29" s="9" t="s">
        <v>0</v>
      </c>
      <c r="F29" s="410">
        <v>4000</v>
      </c>
      <c r="G29" s="394">
        <v>4000</v>
      </c>
      <c r="H29" s="394">
        <v>4000</v>
      </c>
    </row>
    <row r="30" spans="1:8">
      <c r="A30" s="69" t="s">
        <v>30</v>
      </c>
      <c r="B30" s="7" t="s">
        <v>31</v>
      </c>
      <c r="C30" s="9" t="s">
        <v>227</v>
      </c>
      <c r="D30" s="394">
        <v>200</v>
      </c>
      <c r="E30" s="9" t="s">
        <v>0</v>
      </c>
      <c r="F30" s="410">
        <v>200</v>
      </c>
      <c r="G30" s="394">
        <v>200</v>
      </c>
      <c r="H30" s="394">
        <v>200</v>
      </c>
    </row>
    <row r="31" spans="1:8">
      <c r="A31" s="69" t="s">
        <v>32</v>
      </c>
      <c r="B31" s="7" t="s">
        <v>33</v>
      </c>
      <c r="C31" s="9" t="s">
        <v>227</v>
      </c>
      <c r="D31" s="394">
        <v>1000</v>
      </c>
      <c r="E31" s="9" t="s">
        <v>0</v>
      </c>
      <c r="F31" s="410">
        <v>500</v>
      </c>
      <c r="G31" s="394">
        <v>500</v>
      </c>
      <c r="H31" s="394">
        <v>500</v>
      </c>
    </row>
    <row r="32" spans="1:8">
      <c r="A32" s="68" t="s">
        <v>34</v>
      </c>
      <c r="B32" s="6" t="s">
        <v>35</v>
      </c>
      <c r="C32" s="5" t="s">
        <v>227</v>
      </c>
      <c r="D32" s="393">
        <f>D33+D34+D35+D36+D37+D38+D39+D40+D41</f>
        <v>554500</v>
      </c>
      <c r="E32" s="5" t="s">
        <v>0</v>
      </c>
      <c r="F32" s="159">
        <f>F33+F34+F35+F36+F37+F38+F39+F40+F41</f>
        <v>480000</v>
      </c>
      <c r="G32" s="393">
        <f>G33+G34+G35+G36+G37+G38+G39+G40+G41</f>
        <v>480000</v>
      </c>
      <c r="H32" s="393">
        <f>H33+H34+H35+H36+H37+H38+H39+H40+H41</f>
        <v>480000</v>
      </c>
    </row>
    <row r="33" spans="1:8">
      <c r="A33" s="69" t="s">
        <v>36</v>
      </c>
      <c r="B33" s="7" t="s">
        <v>37</v>
      </c>
      <c r="C33" s="9" t="s">
        <v>227</v>
      </c>
      <c r="D33" s="394">
        <v>100000</v>
      </c>
      <c r="E33" s="9" t="s">
        <v>0</v>
      </c>
      <c r="F33" s="410">
        <v>110000</v>
      </c>
      <c r="G33" s="394">
        <v>100000</v>
      </c>
      <c r="H33" s="394">
        <v>100000</v>
      </c>
    </row>
    <row r="34" spans="1:8">
      <c r="A34" s="69" t="s">
        <v>38</v>
      </c>
      <c r="B34" s="7" t="s">
        <v>39</v>
      </c>
      <c r="C34" s="9" t="s">
        <v>227</v>
      </c>
      <c r="D34" s="394">
        <v>70000</v>
      </c>
      <c r="E34" s="9" t="s">
        <v>0</v>
      </c>
      <c r="F34" s="410">
        <v>50000</v>
      </c>
      <c r="G34" s="394">
        <v>50000</v>
      </c>
      <c r="H34" s="394">
        <v>50000</v>
      </c>
    </row>
    <row r="35" spans="1:8">
      <c r="A35" s="69" t="s">
        <v>40</v>
      </c>
      <c r="B35" s="7" t="s">
        <v>41</v>
      </c>
      <c r="C35" s="9" t="s">
        <v>227</v>
      </c>
      <c r="D35" s="394">
        <v>10000</v>
      </c>
      <c r="E35" s="9" t="s">
        <v>0</v>
      </c>
      <c r="F35" s="410">
        <v>10000</v>
      </c>
      <c r="G35" s="394">
        <v>10000</v>
      </c>
      <c r="H35" s="394">
        <v>10000</v>
      </c>
    </row>
    <row r="36" spans="1:8">
      <c r="A36" s="69" t="s">
        <v>42</v>
      </c>
      <c r="B36" s="7" t="s">
        <v>43</v>
      </c>
      <c r="C36" s="9" t="s">
        <v>227</v>
      </c>
      <c r="D36" s="394">
        <v>100</v>
      </c>
      <c r="E36" s="9" t="s">
        <v>0</v>
      </c>
      <c r="F36" s="410">
        <v>0</v>
      </c>
      <c r="G36" s="394">
        <v>0</v>
      </c>
      <c r="H36" s="394">
        <v>0</v>
      </c>
    </row>
    <row r="37" spans="1:8">
      <c r="A37" s="69" t="s">
        <v>44</v>
      </c>
      <c r="B37" s="7" t="s">
        <v>45</v>
      </c>
      <c r="C37" s="9" t="s">
        <v>227</v>
      </c>
      <c r="D37" s="394">
        <v>27000</v>
      </c>
      <c r="E37" s="9" t="s">
        <v>0</v>
      </c>
      <c r="F37" s="410">
        <v>30000</v>
      </c>
      <c r="G37" s="394">
        <v>30000</v>
      </c>
      <c r="H37" s="394">
        <v>30000</v>
      </c>
    </row>
    <row r="38" spans="1:8">
      <c r="A38" s="69">
        <v>3236</v>
      </c>
      <c r="B38" s="7" t="s">
        <v>47</v>
      </c>
      <c r="C38" s="9" t="s">
        <v>227</v>
      </c>
      <c r="D38" s="394">
        <v>37000</v>
      </c>
      <c r="E38" s="9" t="s">
        <v>0</v>
      </c>
      <c r="F38" s="410">
        <v>25000</v>
      </c>
      <c r="G38" s="394">
        <v>25000</v>
      </c>
      <c r="H38" s="394">
        <v>25000</v>
      </c>
    </row>
    <row r="39" spans="1:8">
      <c r="A39" s="69" t="s">
        <v>48</v>
      </c>
      <c r="B39" s="7" t="s">
        <v>49</v>
      </c>
      <c r="C39" s="9" t="s">
        <v>227</v>
      </c>
      <c r="D39" s="394">
        <v>50000</v>
      </c>
      <c r="E39" s="9" t="s">
        <v>0</v>
      </c>
      <c r="F39" s="410">
        <v>40000</v>
      </c>
      <c r="G39" s="394">
        <v>50000</v>
      </c>
      <c r="H39" s="394">
        <v>50000</v>
      </c>
    </row>
    <row r="40" spans="1:8">
      <c r="A40" s="69" t="s">
        <v>50</v>
      </c>
      <c r="B40" s="7" t="s">
        <v>51</v>
      </c>
      <c r="C40" s="9" t="s">
        <v>227</v>
      </c>
      <c r="D40" s="394">
        <v>245400</v>
      </c>
      <c r="E40" s="9" t="s">
        <v>0</v>
      </c>
      <c r="F40" s="410">
        <v>200000</v>
      </c>
      <c r="G40" s="394">
        <v>200000</v>
      </c>
      <c r="H40" s="394">
        <v>200000</v>
      </c>
    </row>
    <row r="41" spans="1:8">
      <c r="A41" s="69" t="s">
        <v>52</v>
      </c>
      <c r="B41" s="7" t="s">
        <v>53</v>
      </c>
      <c r="C41" s="9" t="s">
        <v>227</v>
      </c>
      <c r="D41" s="394">
        <v>15000</v>
      </c>
      <c r="E41" s="9" t="s">
        <v>0</v>
      </c>
      <c r="F41" s="410">
        <v>15000</v>
      </c>
      <c r="G41" s="394">
        <v>15000</v>
      </c>
      <c r="H41" s="394">
        <v>15000</v>
      </c>
    </row>
    <row r="42" spans="1:8">
      <c r="A42" s="68" t="s">
        <v>57</v>
      </c>
      <c r="B42" s="6" t="s">
        <v>58</v>
      </c>
      <c r="C42" s="5" t="s">
        <v>227</v>
      </c>
      <c r="D42" s="393">
        <f>D43+D44+D45+D46+D47+D48+D49</f>
        <v>808800</v>
      </c>
      <c r="E42" s="5" t="s">
        <v>0</v>
      </c>
      <c r="F42" s="159">
        <f>F43+F44+F45+F46+F47+F48+F49</f>
        <v>1236500</v>
      </c>
      <c r="G42" s="393">
        <f>G43+G44+G45+G46+G47+G48+G49</f>
        <v>1172900</v>
      </c>
      <c r="H42" s="393">
        <f>H43+H44+H45+H46+H47+H48+H49</f>
        <v>1109300</v>
      </c>
    </row>
    <row r="43" spans="1:8">
      <c r="A43" s="69" t="s">
        <v>59</v>
      </c>
      <c r="B43" s="7" t="s">
        <v>60</v>
      </c>
      <c r="C43" s="9" t="s">
        <v>227</v>
      </c>
      <c r="D43" s="394">
        <v>62000</v>
      </c>
      <c r="E43" s="9" t="s">
        <v>0</v>
      </c>
      <c r="F43" s="410">
        <v>62000</v>
      </c>
      <c r="G43" s="394">
        <v>62000</v>
      </c>
      <c r="H43" s="394">
        <v>62000</v>
      </c>
    </row>
    <row r="44" spans="1:8">
      <c r="A44" s="69" t="s">
        <v>61</v>
      </c>
      <c r="B44" s="7" t="s">
        <v>62</v>
      </c>
      <c r="C44" s="9" t="s">
        <v>227</v>
      </c>
      <c r="D44" s="394">
        <v>4300</v>
      </c>
      <c r="E44" s="9" t="s">
        <v>0</v>
      </c>
      <c r="F44" s="410">
        <v>5000</v>
      </c>
      <c r="G44" s="394">
        <v>5000</v>
      </c>
      <c r="H44" s="394">
        <v>5000</v>
      </c>
    </row>
    <row r="45" spans="1:8">
      <c r="A45" s="69" t="s">
        <v>63</v>
      </c>
      <c r="B45" s="7" t="s">
        <v>64</v>
      </c>
      <c r="C45" s="9" t="s">
        <v>227</v>
      </c>
      <c r="D45" s="394">
        <v>30000</v>
      </c>
      <c r="E45" s="9" t="s">
        <v>0</v>
      </c>
      <c r="F45" s="410">
        <v>15000</v>
      </c>
      <c r="G45" s="394">
        <v>15000</v>
      </c>
      <c r="H45" s="394">
        <v>15000</v>
      </c>
    </row>
    <row r="46" spans="1:8">
      <c r="A46" s="69" t="s">
        <v>65</v>
      </c>
      <c r="B46" s="7" t="s">
        <v>66</v>
      </c>
      <c r="C46" s="9" t="s">
        <v>227</v>
      </c>
      <c r="D46" s="394">
        <v>698000</v>
      </c>
      <c r="E46" s="9" t="s">
        <v>0</v>
      </c>
      <c r="F46" s="410">
        <v>1140000</v>
      </c>
      <c r="G46" s="394">
        <v>1076400</v>
      </c>
      <c r="H46" s="394">
        <v>1012800</v>
      </c>
    </row>
    <row r="47" spans="1:8">
      <c r="A47" s="69">
        <v>3295</v>
      </c>
      <c r="B47" s="7" t="s">
        <v>68</v>
      </c>
      <c r="C47" s="9" t="s">
        <v>227</v>
      </c>
      <c r="D47" s="394">
        <v>13000</v>
      </c>
      <c r="E47" s="9" t="s">
        <v>0</v>
      </c>
      <c r="F47" s="410">
        <v>13000</v>
      </c>
      <c r="G47" s="394">
        <v>13000</v>
      </c>
      <c r="H47" s="394">
        <v>13000</v>
      </c>
    </row>
    <row r="48" spans="1:8">
      <c r="A48" s="69">
        <v>3296</v>
      </c>
      <c r="B48" s="7" t="s">
        <v>106</v>
      </c>
      <c r="C48" s="9" t="s">
        <v>227</v>
      </c>
      <c r="D48" s="394">
        <v>1000</v>
      </c>
      <c r="E48" s="9" t="s">
        <v>0</v>
      </c>
      <c r="F48" s="410">
        <v>1000</v>
      </c>
      <c r="G48" s="394">
        <v>1000</v>
      </c>
      <c r="H48" s="394">
        <v>1000</v>
      </c>
    </row>
    <row r="49" spans="1:8">
      <c r="A49" s="69" t="s">
        <v>69</v>
      </c>
      <c r="B49" s="7" t="s">
        <v>58</v>
      </c>
      <c r="C49" s="9" t="s">
        <v>227</v>
      </c>
      <c r="D49" s="394">
        <v>500</v>
      </c>
      <c r="E49" s="9" t="s">
        <v>0</v>
      </c>
      <c r="F49" s="410">
        <v>500</v>
      </c>
      <c r="G49" s="394">
        <v>500</v>
      </c>
      <c r="H49" s="394">
        <v>500</v>
      </c>
    </row>
    <row r="50" spans="1:8">
      <c r="A50" s="68" t="s">
        <v>70</v>
      </c>
      <c r="B50" s="6" t="s">
        <v>71</v>
      </c>
      <c r="C50" s="5" t="s">
        <v>227</v>
      </c>
      <c r="D50" s="393">
        <f>D51+D52+D53</f>
        <v>4500</v>
      </c>
      <c r="E50" s="5" t="s">
        <v>0</v>
      </c>
      <c r="F50" s="159">
        <f>F51+F52+F53</f>
        <v>3100</v>
      </c>
      <c r="G50" s="393">
        <f>G51+G52+G53</f>
        <v>4100</v>
      </c>
      <c r="H50" s="393">
        <f>H51+H52+H53</f>
        <v>4100</v>
      </c>
    </row>
    <row r="51" spans="1:8">
      <c r="A51" s="69" t="s">
        <v>72</v>
      </c>
      <c r="B51" s="7" t="s">
        <v>73</v>
      </c>
      <c r="C51" s="9" t="s">
        <v>227</v>
      </c>
      <c r="D51" s="394">
        <v>2000</v>
      </c>
      <c r="E51" s="9" t="s">
        <v>0</v>
      </c>
      <c r="F51" s="410">
        <v>1000</v>
      </c>
      <c r="G51" s="394">
        <v>2000</v>
      </c>
      <c r="H51" s="394">
        <v>2000</v>
      </c>
    </row>
    <row r="52" spans="1:8">
      <c r="A52" s="69" t="s">
        <v>74</v>
      </c>
      <c r="B52" s="7" t="s">
        <v>75</v>
      </c>
      <c r="C52" s="9" t="s">
        <v>227</v>
      </c>
      <c r="D52" s="394">
        <v>500</v>
      </c>
      <c r="E52" s="9" t="s">
        <v>0</v>
      </c>
      <c r="F52" s="410">
        <v>100</v>
      </c>
      <c r="G52" s="394">
        <v>100</v>
      </c>
      <c r="H52" s="394">
        <v>100</v>
      </c>
    </row>
    <row r="53" spans="1:8">
      <c r="A53" s="69" t="s">
        <v>76</v>
      </c>
      <c r="B53" s="7" t="s">
        <v>77</v>
      </c>
      <c r="C53" s="9" t="s">
        <v>227</v>
      </c>
      <c r="D53" s="394">
        <v>2000</v>
      </c>
      <c r="E53" s="9" t="s">
        <v>0</v>
      </c>
      <c r="F53" s="410">
        <v>2000</v>
      </c>
      <c r="G53" s="394">
        <v>2000</v>
      </c>
      <c r="H53" s="394">
        <v>2000</v>
      </c>
    </row>
    <row r="54" spans="1:8">
      <c r="A54" s="68" t="s">
        <v>88</v>
      </c>
      <c r="B54" s="6" t="s">
        <v>89</v>
      </c>
      <c r="C54" s="5" t="s">
        <v>227</v>
      </c>
      <c r="D54" s="393">
        <f>D55+D56</f>
        <v>10000</v>
      </c>
      <c r="E54" s="5" t="s">
        <v>0</v>
      </c>
      <c r="F54" s="159">
        <f>F55+F56</f>
        <v>104000</v>
      </c>
      <c r="G54" s="393">
        <f>G55+G56</f>
        <v>55000</v>
      </c>
      <c r="H54" s="393">
        <f>H55+H56</f>
        <v>55000</v>
      </c>
    </row>
    <row r="55" spans="1:8">
      <c r="A55" s="69" t="s">
        <v>90</v>
      </c>
      <c r="B55" s="7" t="s">
        <v>91</v>
      </c>
      <c r="C55" s="9" t="s">
        <v>227</v>
      </c>
      <c r="D55" s="394">
        <v>5000</v>
      </c>
      <c r="E55" s="9" t="s">
        <v>0</v>
      </c>
      <c r="F55" s="410">
        <v>104000</v>
      </c>
      <c r="G55" s="394">
        <v>50000</v>
      </c>
      <c r="H55" s="394">
        <v>50000</v>
      </c>
    </row>
    <row r="56" spans="1:8" s="44" customFormat="1">
      <c r="A56" s="69">
        <v>4223</v>
      </c>
      <c r="B56" s="7" t="s">
        <v>95</v>
      </c>
      <c r="C56" s="9" t="s">
        <v>227</v>
      </c>
      <c r="D56" s="394">
        <v>5000</v>
      </c>
      <c r="E56" s="9" t="s">
        <v>0</v>
      </c>
      <c r="F56" s="410">
        <v>0</v>
      </c>
      <c r="G56" s="394">
        <v>5000</v>
      </c>
      <c r="H56" s="394">
        <v>5000</v>
      </c>
    </row>
    <row r="57" spans="1:8">
      <c r="A57" s="67" t="s">
        <v>137</v>
      </c>
      <c r="B57" s="11" t="s">
        <v>138</v>
      </c>
      <c r="C57" s="13"/>
      <c r="D57" s="392">
        <f>D58+D61</f>
        <v>200000</v>
      </c>
      <c r="E57" s="13"/>
      <c r="F57" s="158">
        <f>F58+F61</f>
        <v>252000</v>
      </c>
      <c r="G57" s="392">
        <f>G58+G61</f>
        <v>252000</v>
      </c>
      <c r="H57" s="392">
        <f>H58+H61</f>
        <v>252000</v>
      </c>
    </row>
    <row r="58" spans="1:8">
      <c r="A58" s="68" t="s">
        <v>34</v>
      </c>
      <c r="B58" s="6" t="s">
        <v>35</v>
      </c>
      <c r="C58" s="5" t="s">
        <v>227</v>
      </c>
      <c r="D58" s="393">
        <f>D59+D60</f>
        <v>8000</v>
      </c>
      <c r="E58" s="23">
        <v>12</v>
      </c>
      <c r="F58" s="159">
        <f>F59+F60</f>
        <v>60000</v>
      </c>
      <c r="G58" s="393">
        <f>G59+G60</f>
        <v>60000</v>
      </c>
      <c r="H58" s="393">
        <f>H59+H60</f>
        <v>60000</v>
      </c>
    </row>
    <row r="59" spans="1:8">
      <c r="A59" s="69" t="s">
        <v>48</v>
      </c>
      <c r="B59" s="7" t="s">
        <v>49</v>
      </c>
      <c r="C59" s="10" t="s">
        <v>227</v>
      </c>
      <c r="D59" s="394">
        <v>5000</v>
      </c>
      <c r="E59" s="10">
        <v>12</v>
      </c>
      <c r="F59" s="160">
        <v>0</v>
      </c>
      <c r="G59" s="394">
        <v>60000</v>
      </c>
      <c r="H59" s="394">
        <v>60000</v>
      </c>
    </row>
    <row r="60" spans="1:8">
      <c r="A60" s="69" t="s">
        <v>50</v>
      </c>
      <c r="B60" s="7" t="s">
        <v>51</v>
      </c>
      <c r="C60" s="10" t="s">
        <v>227</v>
      </c>
      <c r="D60" s="394">
        <v>3000</v>
      </c>
      <c r="E60" s="10" t="s">
        <v>82</v>
      </c>
      <c r="F60" s="160">
        <v>60000</v>
      </c>
      <c r="G60" s="394">
        <v>0</v>
      </c>
      <c r="H60" s="394"/>
    </row>
    <row r="61" spans="1:8">
      <c r="A61" s="114" t="s">
        <v>34</v>
      </c>
      <c r="B61" s="115" t="s">
        <v>35</v>
      </c>
      <c r="C61" s="116" t="s">
        <v>227</v>
      </c>
      <c r="D61" s="411">
        <f>D62+D63</f>
        <v>192000</v>
      </c>
      <c r="E61" s="116" t="s">
        <v>235</v>
      </c>
      <c r="F61" s="412">
        <f>F62+F63</f>
        <v>192000</v>
      </c>
      <c r="G61" s="411">
        <f>G62+G63</f>
        <v>192000</v>
      </c>
      <c r="H61" s="411">
        <f>H62+H63</f>
        <v>192000</v>
      </c>
    </row>
    <row r="62" spans="1:8">
      <c r="A62" s="110" t="s">
        <v>48</v>
      </c>
      <c r="B62" s="111" t="s">
        <v>49</v>
      </c>
      <c r="C62" s="112" t="s">
        <v>227</v>
      </c>
      <c r="D62" s="397">
        <v>130000</v>
      </c>
      <c r="E62" s="112" t="s">
        <v>235</v>
      </c>
      <c r="F62" s="161">
        <v>130000</v>
      </c>
      <c r="G62" s="397">
        <v>130000</v>
      </c>
      <c r="H62" s="397">
        <v>130000</v>
      </c>
    </row>
    <row r="63" spans="1:8">
      <c r="A63" s="110" t="s">
        <v>50</v>
      </c>
      <c r="B63" s="111" t="s">
        <v>51</v>
      </c>
      <c r="C63" s="112" t="s">
        <v>227</v>
      </c>
      <c r="D63" s="397">
        <v>62000</v>
      </c>
      <c r="E63" s="112" t="s">
        <v>235</v>
      </c>
      <c r="F63" s="161">
        <v>62000</v>
      </c>
      <c r="G63" s="397">
        <v>62000</v>
      </c>
      <c r="H63" s="397">
        <v>62000</v>
      </c>
    </row>
    <row r="64" spans="1:8">
      <c r="A64" s="67" t="s">
        <v>139</v>
      </c>
      <c r="B64" s="11" t="s">
        <v>87</v>
      </c>
      <c r="C64" s="13"/>
      <c r="D64" s="392">
        <f>D65+D67+D69+D71</f>
        <v>420000</v>
      </c>
      <c r="E64" s="31">
        <v>11</v>
      </c>
      <c r="F64" s="158">
        <f>F65+F67+F69+F71</f>
        <v>380000</v>
      </c>
      <c r="G64" s="392">
        <f>G65+G67+G69+G71</f>
        <v>380000</v>
      </c>
      <c r="H64" s="392">
        <f>H65+H67+H69+H71</f>
        <v>380000</v>
      </c>
    </row>
    <row r="65" spans="1:8">
      <c r="A65" s="68" t="s">
        <v>34</v>
      </c>
      <c r="B65" s="6" t="s">
        <v>35</v>
      </c>
      <c r="C65" s="5" t="s">
        <v>227</v>
      </c>
      <c r="D65" s="393">
        <f>D66</f>
        <v>0</v>
      </c>
      <c r="E65" s="5" t="s">
        <v>0</v>
      </c>
      <c r="F65" s="159">
        <f>F66</f>
        <v>0</v>
      </c>
      <c r="G65" s="393">
        <f>G66</f>
        <v>0</v>
      </c>
      <c r="H65" s="393">
        <f>H66</f>
        <v>0</v>
      </c>
    </row>
    <row r="66" spans="1:8">
      <c r="A66" s="69" t="s">
        <v>50</v>
      </c>
      <c r="B66" s="7" t="s">
        <v>51</v>
      </c>
      <c r="C66" s="10" t="s">
        <v>227</v>
      </c>
      <c r="D66" s="394">
        <v>0</v>
      </c>
      <c r="E66" s="10" t="s">
        <v>0</v>
      </c>
      <c r="F66" s="160">
        <v>0</v>
      </c>
      <c r="G66" s="394">
        <v>0</v>
      </c>
      <c r="H66" s="394">
        <v>0</v>
      </c>
    </row>
    <row r="67" spans="1:8">
      <c r="A67" s="68" t="s">
        <v>83</v>
      </c>
      <c r="B67" s="6" t="s">
        <v>84</v>
      </c>
      <c r="C67" s="5" t="s">
        <v>227</v>
      </c>
      <c r="D67" s="393">
        <f>D68</f>
        <v>260000</v>
      </c>
      <c r="E67" s="413" t="str">
        <f t="shared" ref="E67" si="0">E68</f>
        <v>11</v>
      </c>
      <c r="F67" s="159">
        <f>F68</f>
        <v>240000</v>
      </c>
      <c r="G67" s="393">
        <f>G68</f>
        <v>240000</v>
      </c>
      <c r="H67" s="393">
        <f>H68</f>
        <v>240000</v>
      </c>
    </row>
    <row r="68" spans="1:8">
      <c r="A68" s="69" t="s">
        <v>85</v>
      </c>
      <c r="B68" s="7" t="s">
        <v>86</v>
      </c>
      <c r="C68" s="9" t="s">
        <v>227</v>
      </c>
      <c r="D68" s="394">
        <v>260000</v>
      </c>
      <c r="E68" s="9" t="s">
        <v>0</v>
      </c>
      <c r="F68" s="410">
        <v>240000</v>
      </c>
      <c r="G68" s="394">
        <v>240000</v>
      </c>
      <c r="H68" s="394">
        <v>240000</v>
      </c>
    </row>
    <row r="69" spans="1:8">
      <c r="A69" s="68" t="s">
        <v>88</v>
      </c>
      <c r="B69" s="6" t="s">
        <v>89</v>
      </c>
      <c r="C69" s="5" t="s">
        <v>227</v>
      </c>
      <c r="D69" s="393">
        <f>D70</f>
        <v>10000</v>
      </c>
      <c r="E69" s="413" t="str">
        <f t="shared" ref="E69" si="1">E70</f>
        <v>11</v>
      </c>
      <c r="F69" s="159">
        <f>F70</f>
        <v>10000</v>
      </c>
      <c r="G69" s="393">
        <f>G70</f>
        <v>10000</v>
      </c>
      <c r="H69" s="393">
        <f>H70</f>
        <v>10000</v>
      </c>
    </row>
    <row r="70" spans="1:8">
      <c r="A70" s="69" t="s">
        <v>90</v>
      </c>
      <c r="B70" s="7" t="s">
        <v>91</v>
      </c>
      <c r="C70" s="9" t="s">
        <v>227</v>
      </c>
      <c r="D70" s="394">
        <v>10000</v>
      </c>
      <c r="E70" s="9" t="s">
        <v>0</v>
      </c>
      <c r="F70" s="410">
        <v>10000</v>
      </c>
      <c r="G70" s="394">
        <v>10000</v>
      </c>
      <c r="H70" s="394">
        <v>10000</v>
      </c>
    </row>
    <row r="71" spans="1:8">
      <c r="A71" s="68" t="s">
        <v>140</v>
      </c>
      <c r="B71" s="6" t="s">
        <v>141</v>
      </c>
      <c r="C71" s="5" t="s">
        <v>227</v>
      </c>
      <c r="D71" s="393">
        <f>D72</f>
        <v>150000</v>
      </c>
      <c r="E71" s="413" t="str">
        <f t="shared" ref="E71" si="2">E72</f>
        <v>11</v>
      </c>
      <c r="F71" s="159">
        <f>F72</f>
        <v>130000</v>
      </c>
      <c r="G71" s="393">
        <f>G72</f>
        <v>130000</v>
      </c>
      <c r="H71" s="393">
        <f>H72</f>
        <v>130000</v>
      </c>
    </row>
    <row r="72" spans="1:8">
      <c r="A72" s="69" t="s">
        <v>142</v>
      </c>
      <c r="B72" s="7" t="s">
        <v>143</v>
      </c>
      <c r="C72" s="9" t="s">
        <v>227</v>
      </c>
      <c r="D72" s="394">
        <v>150000</v>
      </c>
      <c r="E72" s="9" t="s">
        <v>0</v>
      </c>
      <c r="F72" s="410">
        <v>130000</v>
      </c>
      <c r="G72" s="394">
        <v>130000</v>
      </c>
      <c r="H72" s="394">
        <v>130000</v>
      </c>
    </row>
  </sheetData>
  <mergeCells count="2">
    <mergeCell ref="A12:H12"/>
    <mergeCell ref="A3:C11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97" orientation="landscape" r:id="rId1"/>
  <headerFooter>
    <oddFooter>&amp;CH Z N&amp;R&amp;P</oddFooter>
  </headerFooter>
  <rowBreaks count="1" manualBreakCount="1">
    <brk id="3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="110" zoomScaleNormal="110" zoomScaleSheetLayoutView="100" workbookViewId="0">
      <pane ySplit="12" topLeftCell="A28" activePane="bottomLeft" state="frozen"/>
      <selection pane="bottomLeft" activeCell="H56" sqref="H56"/>
    </sheetView>
  </sheetViews>
  <sheetFormatPr defaultRowHeight="15"/>
  <cols>
    <col min="1" max="1" width="10.7109375" style="66" customWidth="1"/>
    <col min="2" max="2" width="50.7109375" customWidth="1"/>
    <col min="3" max="3" width="5.7109375" customWidth="1"/>
    <col min="4" max="4" width="14.7109375" style="44" customWidth="1"/>
    <col min="5" max="5" width="5.7109375" customWidth="1"/>
    <col min="6" max="7" width="16.7109375" style="44" customWidth="1"/>
    <col min="8" max="8" width="16.7109375" customWidth="1"/>
    <col min="9" max="9" width="12.85546875" customWidth="1"/>
    <col min="11" max="11" width="11.7109375" bestFit="1" customWidth="1"/>
  </cols>
  <sheetData>
    <row r="1" spans="1:11" ht="25.5" customHeight="1">
      <c r="A1" s="83"/>
      <c r="B1" s="84"/>
      <c r="C1" s="85" t="s">
        <v>220</v>
      </c>
      <c r="D1" s="85" t="s">
        <v>302</v>
      </c>
      <c r="E1" s="85" t="s">
        <v>180</v>
      </c>
      <c r="F1" s="80" t="s">
        <v>398</v>
      </c>
      <c r="G1" s="80" t="s">
        <v>399</v>
      </c>
      <c r="H1" s="316" t="s">
        <v>400</v>
      </c>
    </row>
    <row r="2" spans="1:11" ht="25.5" customHeight="1">
      <c r="A2" s="86" t="s">
        <v>144</v>
      </c>
      <c r="B2" s="90" t="s">
        <v>145</v>
      </c>
      <c r="C2" s="88"/>
      <c r="D2" s="89">
        <f>D13+D56+D66+D61</f>
        <v>7619262</v>
      </c>
      <c r="E2" s="89"/>
      <c r="F2" s="89">
        <f t="shared" ref="F2:H2" si="0">F13+F56+F66+F61</f>
        <v>8025234</v>
      </c>
      <c r="G2" s="89">
        <f>G13+G56+G66+G61</f>
        <v>7625234</v>
      </c>
      <c r="H2" s="89">
        <f t="shared" si="0"/>
        <v>7625234</v>
      </c>
    </row>
    <row r="3" spans="1:11" ht="15" customHeight="1">
      <c r="A3" s="599"/>
      <c r="B3" s="599"/>
      <c r="C3" s="600"/>
      <c r="D3" s="25">
        <f>D13+D56</f>
        <v>7524000</v>
      </c>
      <c r="E3" s="94">
        <v>11</v>
      </c>
      <c r="F3" s="156">
        <f>F13+F56</f>
        <v>8025234</v>
      </c>
      <c r="G3" s="156">
        <f>G13+G56</f>
        <v>7625234</v>
      </c>
      <c r="H3" s="25">
        <f>H13+H56</f>
        <v>7625234</v>
      </c>
      <c r="I3" s="26"/>
      <c r="J3" s="44"/>
      <c r="K3" s="26"/>
    </row>
    <row r="4" spans="1:11">
      <c r="A4" s="601"/>
      <c r="B4" s="601"/>
      <c r="C4" s="602"/>
      <c r="D4" s="25">
        <v>0</v>
      </c>
      <c r="E4" s="24">
        <v>12</v>
      </c>
      <c r="F4" s="156">
        <v>0</v>
      </c>
      <c r="G4" s="156">
        <v>0</v>
      </c>
      <c r="H4" s="25">
        <v>0</v>
      </c>
      <c r="I4" s="44"/>
      <c r="J4" s="44"/>
      <c r="K4" s="44"/>
    </row>
    <row r="5" spans="1:11">
      <c r="A5" s="601"/>
      <c r="B5" s="601"/>
      <c r="C5" s="602"/>
      <c r="D5" s="33">
        <f>D3+D4</f>
        <v>7524000</v>
      </c>
      <c r="E5" s="34" t="s">
        <v>267</v>
      </c>
      <c r="F5" s="157">
        <f>F3+F4</f>
        <v>8025234</v>
      </c>
      <c r="G5" s="157">
        <f>G3+G4</f>
        <v>7625234</v>
      </c>
      <c r="H5" s="33">
        <f>H3+H4</f>
        <v>7625234</v>
      </c>
      <c r="I5" s="44"/>
      <c r="J5" s="44"/>
      <c r="K5" s="44"/>
    </row>
    <row r="6" spans="1:11">
      <c r="A6" s="601"/>
      <c r="B6" s="601"/>
      <c r="C6" s="602"/>
      <c r="D6" s="25">
        <f>D62+D63+D64+D65</f>
        <v>79383</v>
      </c>
      <c r="E6" s="24" t="s">
        <v>216</v>
      </c>
      <c r="F6" s="156">
        <v>0</v>
      </c>
      <c r="G6" s="156">
        <v>0</v>
      </c>
      <c r="H6" s="25">
        <v>0</v>
      </c>
      <c r="I6" s="44"/>
      <c r="J6" s="44"/>
      <c r="K6" s="44"/>
    </row>
    <row r="7" spans="1:11">
      <c r="A7" s="601"/>
      <c r="B7" s="601"/>
      <c r="C7" s="602"/>
      <c r="D7" s="25">
        <v>0</v>
      </c>
      <c r="E7" s="24" t="s">
        <v>235</v>
      </c>
      <c r="F7" s="156">
        <v>0</v>
      </c>
      <c r="G7" s="156">
        <v>0</v>
      </c>
      <c r="H7" s="25">
        <v>0</v>
      </c>
      <c r="I7" s="44"/>
      <c r="J7" s="44"/>
      <c r="K7" s="44"/>
    </row>
    <row r="8" spans="1:11">
      <c r="A8" s="601"/>
      <c r="B8" s="601"/>
      <c r="C8" s="602"/>
      <c r="D8" s="25">
        <f>D66</f>
        <v>15879</v>
      </c>
      <c r="E8" s="24" t="s">
        <v>264</v>
      </c>
      <c r="F8" s="156">
        <f>F66</f>
        <v>0</v>
      </c>
      <c r="G8" s="156">
        <f>G66</f>
        <v>0</v>
      </c>
      <c r="H8" s="25">
        <f>H66</f>
        <v>0</v>
      </c>
      <c r="I8" s="44"/>
      <c r="J8" s="44"/>
      <c r="K8" s="44"/>
    </row>
    <row r="9" spans="1:11">
      <c r="A9" s="601"/>
      <c r="B9" s="601"/>
      <c r="C9" s="602"/>
      <c r="D9" s="25">
        <v>0</v>
      </c>
      <c r="E9" s="24" t="s">
        <v>265</v>
      </c>
      <c r="F9" s="156">
        <v>0</v>
      </c>
      <c r="G9" s="156">
        <v>0</v>
      </c>
      <c r="H9" s="25">
        <v>0</v>
      </c>
      <c r="I9" s="44"/>
      <c r="J9" s="44"/>
      <c r="K9" s="44"/>
    </row>
    <row r="10" spans="1:11">
      <c r="A10" s="601"/>
      <c r="B10" s="601"/>
      <c r="C10" s="602"/>
      <c r="D10" s="25">
        <v>0</v>
      </c>
      <c r="E10" s="24" t="s">
        <v>234</v>
      </c>
      <c r="F10" s="156">
        <v>0</v>
      </c>
      <c r="G10" s="156">
        <v>0</v>
      </c>
      <c r="H10" s="25">
        <v>0</v>
      </c>
      <c r="I10" s="44"/>
      <c r="J10" s="44"/>
      <c r="K10" s="44"/>
    </row>
    <row r="11" spans="1:11">
      <c r="A11" s="613"/>
      <c r="B11" s="613"/>
      <c r="C11" s="614"/>
      <c r="D11" s="25">
        <v>0</v>
      </c>
      <c r="E11" s="24" t="s">
        <v>292</v>
      </c>
      <c r="F11" s="156">
        <v>0</v>
      </c>
      <c r="G11" s="156">
        <v>0</v>
      </c>
      <c r="H11" s="25">
        <v>0</v>
      </c>
      <c r="I11" s="44"/>
      <c r="J11" s="44"/>
      <c r="K11" s="44"/>
    </row>
    <row r="12" spans="1:11">
      <c r="A12" s="609" t="s">
        <v>228</v>
      </c>
      <c r="B12" s="610"/>
      <c r="C12" s="610"/>
      <c r="D12" s="610"/>
      <c r="E12" s="610"/>
      <c r="F12" s="611"/>
      <c r="G12" s="612"/>
      <c r="H12" s="610"/>
    </row>
    <row r="13" spans="1:11">
      <c r="A13" s="67" t="s">
        <v>146</v>
      </c>
      <c r="B13" s="11" t="s">
        <v>147</v>
      </c>
      <c r="C13" s="13"/>
      <c r="D13" s="12">
        <f>D14+D17+D19+D22+D26+D32+D41+D43+D50+D53</f>
        <v>7484000</v>
      </c>
      <c r="E13" s="13" t="s">
        <v>0</v>
      </c>
      <c r="F13" s="158">
        <f>F14+F17+F19+F22+F26+F32+F41+F43+F50+F53</f>
        <v>7975234</v>
      </c>
      <c r="G13" s="158">
        <f>G14+G17+G19+G22+G26+G32+G41+G43+G50+G53</f>
        <v>7575234</v>
      </c>
      <c r="H13" s="12">
        <f>H14+H17+H19+H22+H26+H32+H41+H43+H50+H53</f>
        <v>7575234</v>
      </c>
    </row>
    <row r="14" spans="1:11">
      <c r="A14" s="68" t="s">
        <v>1</v>
      </c>
      <c r="B14" s="6" t="s">
        <v>2</v>
      </c>
      <c r="C14" s="5" t="s">
        <v>227</v>
      </c>
      <c r="D14" s="1">
        <f>D15+D16</f>
        <v>2575000</v>
      </c>
      <c r="E14" s="5" t="s">
        <v>0</v>
      </c>
      <c r="F14" s="159">
        <f>F15+F16</f>
        <v>3022534</v>
      </c>
      <c r="G14" s="159">
        <f>G15+G16</f>
        <v>3095000</v>
      </c>
      <c r="H14" s="1">
        <f>H15+H16</f>
        <v>3145000</v>
      </c>
    </row>
    <row r="15" spans="1:11">
      <c r="A15" s="76" t="s">
        <v>3</v>
      </c>
      <c r="B15" s="2" t="s">
        <v>4</v>
      </c>
      <c r="C15" s="4" t="s">
        <v>227</v>
      </c>
      <c r="D15" s="3">
        <v>2570000</v>
      </c>
      <c r="E15" s="4" t="s">
        <v>0</v>
      </c>
      <c r="F15" s="164">
        <v>3021534</v>
      </c>
      <c r="G15" s="164">
        <v>3094000</v>
      </c>
      <c r="H15" s="3">
        <v>3144000</v>
      </c>
    </row>
    <row r="16" spans="1:11">
      <c r="A16" s="76" t="s">
        <v>5</v>
      </c>
      <c r="B16" s="2" t="s">
        <v>6</v>
      </c>
      <c r="C16" s="4" t="s">
        <v>227</v>
      </c>
      <c r="D16" s="3">
        <v>5000</v>
      </c>
      <c r="E16" s="4" t="s">
        <v>0</v>
      </c>
      <c r="F16" s="164">
        <v>1000</v>
      </c>
      <c r="G16" s="164">
        <v>1000</v>
      </c>
      <c r="H16" s="3">
        <v>1000</v>
      </c>
    </row>
    <row r="17" spans="1:8">
      <c r="A17" s="68" t="s">
        <v>7</v>
      </c>
      <c r="B17" s="6" t="s">
        <v>8</v>
      </c>
      <c r="C17" s="5" t="s">
        <v>227</v>
      </c>
      <c r="D17" s="1">
        <f>D18</f>
        <v>92500</v>
      </c>
      <c r="E17" s="5" t="s">
        <v>0</v>
      </c>
      <c r="F17" s="159">
        <f>F18</f>
        <v>100000</v>
      </c>
      <c r="G17" s="159">
        <f>G18</f>
        <v>75000</v>
      </c>
      <c r="H17" s="1">
        <f>H18</f>
        <v>90000</v>
      </c>
    </row>
    <row r="18" spans="1:8">
      <c r="A18" s="76" t="s">
        <v>9</v>
      </c>
      <c r="B18" s="2" t="s">
        <v>8</v>
      </c>
      <c r="C18" s="4" t="s">
        <v>227</v>
      </c>
      <c r="D18" s="3">
        <v>92500</v>
      </c>
      <c r="E18" s="4" t="s">
        <v>0</v>
      </c>
      <c r="F18" s="164">
        <v>100000</v>
      </c>
      <c r="G18" s="164">
        <v>75000</v>
      </c>
      <c r="H18" s="3">
        <v>90000</v>
      </c>
    </row>
    <row r="19" spans="1:8">
      <c r="A19" s="68" t="s">
        <v>10</v>
      </c>
      <c r="B19" s="6" t="s">
        <v>11</v>
      </c>
      <c r="C19" s="5" t="s">
        <v>227</v>
      </c>
      <c r="D19" s="1">
        <f>D20+D21</f>
        <v>445200</v>
      </c>
      <c r="E19" s="5" t="s">
        <v>0</v>
      </c>
      <c r="F19" s="159">
        <f>F20+F21</f>
        <v>519900</v>
      </c>
      <c r="G19" s="159">
        <f>G20+G21</f>
        <v>532340</v>
      </c>
      <c r="H19" s="1">
        <f>H20+H21</f>
        <v>540940</v>
      </c>
    </row>
    <row r="20" spans="1:8">
      <c r="A20" s="76" t="s">
        <v>12</v>
      </c>
      <c r="B20" s="2" t="s">
        <v>13</v>
      </c>
      <c r="C20" s="4" t="s">
        <v>227</v>
      </c>
      <c r="D20" s="3">
        <v>388000</v>
      </c>
      <c r="E20" s="4" t="s">
        <v>0</v>
      </c>
      <c r="F20" s="164">
        <v>468500</v>
      </c>
      <c r="G20" s="164">
        <v>479730</v>
      </c>
      <c r="H20" s="3">
        <v>487500</v>
      </c>
    </row>
    <row r="21" spans="1:8">
      <c r="A21" s="76" t="s">
        <v>14</v>
      </c>
      <c r="B21" s="2" t="s">
        <v>15</v>
      </c>
      <c r="C21" s="4" t="s">
        <v>227</v>
      </c>
      <c r="D21" s="3">
        <v>57200</v>
      </c>
      <c r="E21" s="4" t="s">
        <v>0</v>
      </c>
      <c r="F21" s="164">
        <v>51400</v>
      </c>
      <c r="G21" s="164">
        <v>52610</v>
      </c>
      <c r="H21" s="3">
        <v>53440</v>
      </c>
    </row>
    <row r="22" spans="1:8">
      <c r="A22" s="68" t="s">
        <v>16</v>
      </c>
      <c r="B22" s="6" t="s">
        <v>17</v>
      </c>
      <c r="C22" s="5" t="s">
        <v>227</v>
      </c>
      <c r="D22" s="1">
        <f>D23+D24+D25</f>
        <v>295000</v>
      </c>
      <c r="E22" s="5" t="s">
        <v>0</v>
      </c>
      <c r="F22" s="159">
        <f>F23+F24+F25</f>
        <v>345000</v>
      </c>
      <c r="G22" s="159">
        <f>G23+G24+G25</f>
        <v>345000</v>
      </c>
      <c r="H22" s="1">
        <f>H23+H24+H25</f>
        <v>345000</v>
      </c>
    </row>
    <row r="23" spans="1:8">
      <c r="A23" s="76" t="s">
        <v>18</v>
      </c>
      <c r="B23" s="2" t="s">
        <v>19</v>
      </c>
      <c r="C23" s="4" t="s">
        <v>227</v>
      </c>
      <c r="D23" s="3">
        <v>180000</v>
      </c>
      <c r="E23" s="4" t="s">
        <v>0</v>
      </c>
      <c r="F23" s="164">
        <v>200000</v>
      </c>
      <c r="G23" s="164">
        <v>200000</v>
      </c>
      <c r="H23" s="3">
        <v>200000</v>
      </c>
    </row>
    <row r="24" spans="1:8">
      <c r="A24" s="76" t="s">
        <v>20</v>
      </c>
      <c r="B24" s="2" t="s">
        <v>21</v>
      </c>
      <c r="C24" s="4" t="s">
        <v>227</v>
      </c>
      <c r="D24" s="3">
        <v>75000</v>
      </c>
      <c r="E24" s="4" t="s">
        <v>0</v>
      </c>
      <c r="F24" s="164">
        <v>95000</v>
      </c>
      <c r="G24" s="164">
        <v>95000</v>
      </c>
      <c r="H24" s="3">
        <v>95000</v>
      </c>
    </row>
    <row r="25" spans="1:8">
      <c r="A25" s="76" t="s">
        <v>22</v>
      </c>
      <c r="B25" s="2" t="s">
        <v>23</v>
      </c>
      <c r="C25" s="4" t="s">
        <v>227</v>
      </c>
      <c r="D25" s="3">
        <v>40000</v>
      </c>
      <c r="E25" s="4" t="s">
        <v>0</v>
      </c>
      <c r="F25" s="164">
        <v>50000</v>
      </c>
      <c r="G25" s="164">
        <v>50000</v>
      </c>
      <c r="H25" s="3">
        <v>50000</v>
      </c>
    </row>
    <row r="26" spans="1:8">
      <c r="A26" s="68" t="s">
        <v>24</v>
      </c>
      <c r="B26" s="6" t="s">
        <v>25</v>
      </c>
      <c r="C26" s="5" t="s">
        <v>227</v>
      </c>
      <c r="D26" s="1">
        <f>D27+D28+D29+D30+D31</f>
        <v>73000</v>
      </c>
      <c r="E26" s="5" t="s">
        <v>0</v>
      </c>
      <c r="F26" s="159">
        <f>F27+F28+F29+F30+F31</f>
        <v>114000</v>
      </c>
      <c r="G26" s="159">
        <f>G27+G28+G29+G30+G31</f>
        <v>114000</v>
      </c>
      <c r="H26" s="1">
        <f>H27+H28+H29+H30+H31</f>
        <v>114000</v>
      </c>
    </row>
    <row r="27" spans="1:8">
      <c r="A27" s="76" t="s">
        <v>26</v>
      </c>
      <c r="B27" s="2" t="s">
        <v>27</v>
      </c>
      <c r="C27" s="4" t="s">
        <v>227</v>
      </c>
      <c r="D27" s="3">
        <v>38000</v>
      </c>
      <c r="E27" s="4" t="s">
        <v>0</v>
      </c>
      <c r="F27" s="164">
        <v>50000</v>
      </c>
      <c r="G27" s="164">
        <v>50000</v>
      </c>
      <c r="H27" s="3">
        <v>50000</v>
      </c>
    </row>
    <row r="28" spans="1:8">
      <c r="A28" s="76" t="s">
        <v>121</v>
      </c>
      <c r="B28" s="2" t="s">
        <v>122</v>
      </c>
      <c r="C28" s="4" t="s">
        <v>227</v>
      </c>
      <c r="D28" s="3">
        <v>5000</v>
      </c>
      <c r="E28" s="4" t="s">
        <v>0</v>
      </c>
      <c r="F28" s="164">
        <v>3000</v>
      </c>
      <c r="G28" s="164">
        <v>3000</v>
      </c>
      <c r="H28" s="3">
        <v>3000</v>
      </c>
    </row>
    <row r="29" spans="1:8">
      <c r="A29" s="76" t="s">
        <v>28</v>
      </c>
      <c r="B29" s="2" t="s">
        <v>29</v>
      </c>
      <c r="C29" s="4" t="s">
        <v>227</v>
      </c>
      <c r="D29" s="3">
        <v>20000</v>
      </c>
      <c r="E29" s="4" t="s">
        <v>0</v>
      </c>
      <c r="F29" s="164">
        <v>40000</v>
      </c>
      <c r="G29" s="164">
        <v>40000</v>
      </c>
      <c r="H29" s="3">
        <v>40000</v>
      </c>
    </row>
    <row r="30" spans="1:8">
      <c r="A30" s="76" t="s">
        <v>30</v>
      </c>
      <c r="B30" s="2" t="s">
        <v>31</v>
      </c>
      <c r="C30" s="4" t="s">
        <v>227</v>
      </c>
      <c r="D30" s="3">
        <v>5000</v>
      </c>
      <c r="E30" s="4" t="s">
        <v>0</v>
      </c>
      <c r="F30" s="164">
        <v>3000</v>
      </c>
      <c r="G30" s="164">
        <v>3000</v>
      </c>
      <c r="H30" s="3">
        <v>3000</v>
      </c>
    </row>
    <row r="31" spans="1:8">
      <c r="A31" s="76" t="s">
        <v>32</v>
      </c>
      <c r="B31" s="2" t="s">
        <v>33</v>
      </c>
      <c r="C31" s="4" t="s">
        <v>227</v>
      </c>
      <c r="D31" s="3">
        <v>5000</v>
      </c>
      <c r="E31" s="4" t="s">
        <v>0</v>
      </c>
      <c r="F31" s="164">
        <v>18000</v>
      </c>
      <c r="G31" s="164">
        <v>18000</v>
      </c>
      <c r="H31" s="3">
        <v>18000</v>
      </c>
    </row>
    <row r="32" spans="1:8">
      <c r="A32" s="68" t="s">
        <v>34</v>
      </c>
      <c r="B32" s="6" t="s">
        <v>35</v>
      </c>
      <c r="C32" s="5" t="s">
        <v>227</v>
      </c>
      <c r="D32" s="1">
        <f>D33+D34+D35+D36+D37+D38+D39+D40</f>
        <v>3616370</v>
      </c>
      <c r="E32" s="5" t="s">
        <v>0</v>
      </c>
      <c r="F32" s="159">
        <f>F33+F34+F35+F36+F37+F38+F39+F40</f>
        <v>3410000</v>
      </c>
      <c r="G32" s="159">
        <f>G33+G34+G35+G36+G37+G38+G39+G40</f>
        <v>2990094</v>
      </c>
      <c r="H32" s="1">
        <f>H33+H34+H35+H36+H37+H38+H39+H40</f>
        <v>2916494</v>
      </c>
    </row>
    <row r="33" spans="1:8">
      <c r="A33" s="76" t="s">
        <v>36</v>
      </c>
      <c r="B33" s="2" t="s">
        <v>37</v>
      </c>
      <c r="C33" s="4" t="s">
        <v>227</v>
      </c>
      <c r="D33" s="3">
        <v>60000</v>
      </c>
      <c r="E33" s="4" t="s">
        <v>0</v>
      </c>
      <c r="F33" s="164">
        <v>55000</v>
      </c>
      <c r="G33" s="164">
        <v>55000</v>
      </c>
      <c r="H33" s="3">
        <v>55000</v>
      </c>
    </row>
    <row r="34" spans="1:8">
      <c r="A34" s="76" t="s">
        <v>38</v>
      </c>
      <c r="B34" s="2" t="s">
        <v>39</v>
      </c>
      <c r="C34" s="4" t="s">
        <v>227</v>
      </c>
      <c r="D34" s="3">
        <v>50000</v>
      </c>
      <c r="E34" s="4" t="s">
        <v>0</v>
      </c>
      <c r="F34" s="164">
        <v>40000</v>
      </c>
      <c r="G34" s="164">
        <v>40000</v>
      </c>
      <c r="H34" s="3">
        <v>40000</v>
      </c>
    </row>
    <row r="35" spans="1:8">
      <c r="A35" s="76" t="s">
        <v>40</v>
      </c>
      <c r="B35" s="2" t="s">
        <v>41</v>
      </c>
      <c r="C35" s="4" t="s">
        <v>227</v>
      </c>
      <c r="D35" s="3">
        <v>10000</v>
      </c>
      <c r="E35" s="4" t="s">
        <v>0</v>
      </c>
      <c r="F35" s="164">
        <v>20000</v>
      </c>
      <c r="G35" s="164">
        <v>20000</v>
      </c>
      <c r="H35" s="3">
        <v>20000</v>
      </c>
    </row>
    <row r="36" spans="1:8">
      <c r="A36" s="76" t="s">
        <v>44</v>
      </c>
      <c r="B36" s="2" t="s">
        <v>45</v>
      </c>
      <c r="C36" s="4" t="s">
        <v>227</v>
      </c>
      <c r="D36" s="3">
        <v>50000</v>
      </c>
      <c r="E36" s="4" t="s">
        <v>0</v>
      </c>
      <c r="F36" s="164">
        <v>60000</v>
      </c>
      <c r="G36" s="164">
        <v>60000</v>
      </c>
      <c r="H36" s="3">
        <v>60000</v>
      </c>
    </row>
    <row r="37" spans="1:8">
      <c r="A37" s="76" t="s">
        <v>46</v>
      </c>
      <c r="B37" s="2" t="s">
        <v>47</v>
      </c>
      <c r="C37" s="4" t="s">
        <v>227</v>
      </c>
      <c r="D37" s="3">
        <v>20000</v>
      </c>
      <c r="E37" s="4" t="s">
        <v>0</v>
      </c>
      <c r="F37" s="164">
        <v>15000</v>
      </c>
      <c r="G37" s="164">
        <v>15000</v>
      </c>
      <c r="H37" s="3">
        <v>15000</v>
      </c>
    </row>
    <row r="38" spans="1:8">
      <c r="A38" s="76" t="s">
        <v>48</v>
      </c>
      <c r="B38" s="2" t="s">
        <v>49</v>
      </c>
      <c r="C38" s="4" t="s">
        <v>227</v>
      </c>
      <c r="D38" s="3">
        <v>3223370</v>
      </c>
      <c r="E38" s="4" t="s">
        <v>0</v>
      </c>
      <c r="F38" s="164">
        <v>3000000</v>
      </c>
      <c r="G38" s="164">
        <v>2580094</v>
      </c>
      <c r="H38" s="3">
        <v>2506494</v>
      </c>
    </row>
    <row r="39" spans="1:8">
      <c r="A39" s="76" t="s">
        <v>50</v>
      </c>
      <c r="B39" s="2" t="s">
        <v>51</v>
      </c>
      <c r="C39" s="4" t="s">
        <v>227</v>
      </c>
      <c r="D39" s="3">
        <v>123000</v>
      </c>
      <c r="E39" s="4" t="s">
        <v>0</v>
      </c>
      <c r="F39" s="164">
        <v>140000</v>
      </c>
      <c r="G39" s="164">
        <v>140000</v>
      </c>
      <c r="H39" s="3">
        <v>140000</v>
      </c>
    </row>
    <row r="40" spans="1:8">
      <c r="A40" s="76" t="s">
        <v>52</v>
      </c>
      <c r="B40" s="2" t="s">
        <v>53</v>
      </c>
      <c r="C40" s="4" t="s">
        <v>227</v>
      </c>
      <c r="D40" s="3">
        <v>80000</v>
      </c>
      <c r="E40" s="4" t="s">
        <v>0</v>
      </c>
      <c r="F40" s="164">
        <v>80000</v>
      </c>
      <c r="G40" s="164">
        <v>80000</v>
      </c>
      <c r="H40" s="3">
        <v>80000</v>
      </c>
    </row>
    <row r="41" spans="1:8">
      <c r="A41" s="68" t="s">
        <v>54</v>
      </c>
      <c r="B41" s="6" t="s">
        <v>55</v>
      </c>
      <c r="C41" s="5" t="s">
        <v>227</v>
      </c>
      <c r="D41" s="1">
        <f>D42</f>
        <v>110000</v>
      </c>
      <c r="E41" s="5" t="s">
        <v>0</v>
      </c>
      <c r="F41" s="159">
        <f>F42</f>
        <v>140000</v>
      </c>
      <c r="G41" s="159">
        <f>G42</f>
        <v>100000</v>
      </c>
      <c r="H41" s="1">
        <f>H42</f>
        <v>100000</v>
      </c>
    </row>
    <row r="42" spans="1:8">
      <c r="A42" s="76" t="s">
        <v>56</v>
      </c>
      <c r="B42" s="2" t="s">
        <v>55</v>
      </c>
      <c r="C42" s="4" t="s">
        <v>227</v>
      </c>
      <c r="D42" s="3">
        <v>110000</v>
      </c>
      <c r="E42" s="4" t="s">
        <v>0</v>
      </c>
      <c r="F42" s="164">
        <v>140000</v>
      </c>
      <c r="G42" s="164">
        <v>100000</v>
      </c>
      <c r="H42" s="3">
        <v>100000</v>
      </c>
    </row>
    <row r="43" spans="1:8">
      <c r="A43" s="68" t="s">
        <v>57</v>
      </c>
      <c r="B43" s="6" t="s">
        <v>58</v>
      </c>
      <c r="C43" s="5" t="s">
        <v>227</v>
      </c>
      <c r="D43" s="1">
        <f>D44+D45+D46+D47+D49+D48</f>
        <v>257930</v>
      </c>
      <c r="E43" s="5" t="s">
        <v>0</v>
      </c>
      <c r="F43" s="159">
        <f>F44+F45+F46+F47+F49+F48</f>
        <v>309780</v>
      </c>
      <c r="G43" s="159">
        <f>G44+G45+G46+G47+G49+G48</f>
        <v>309780</v>
      </c>
      <c r="H43" s="1">
        <f>H44+H45+H46+H47+H49+H48</f>
        <v>309780</v>
      </c>
    </row>
    <row r="44" spans="1:8">
      <c r="A44" s="76" t="s">
        <v>59</v>
      </c>
      <c r="B44" s="2" t="s">
        <v>60</v>
      </c>
      <c r="C44" s="4" t="s">
        <v>227</v>
      </c>
      <c r="D44" s="3">
        <v>95730</v>
      </c>
      <c r="E44" s="4" t="s">
        <v>0</v>
      </c>
      <c r="F44" s="164">
        <v>120000</v>
      </c>
      <c r="G44" s="164">
        <v>120000</v>
      </c>
      <c r="H44" s="3">
        <v>120000</v>
      </c>
    </row>
    <row r="45" spans="1:8">
      <c r="A45" s="76" t="s">
        <v>61</v>
      </c>
      <c r="B45" s="2" t="s">
        <v>62</v>
      </c>
      <c r="C45" s="4" t="s">
        <v>227</v>
      </c>
      <c r="D45" s="3">
        <v>7500</v>
      </c>
      <c r="E45" s="4" t="s">
        <v>0</v>
      </c>
      <c r="F45" s="164">
        <v>8000</v>
      </c>
      <c r="G45" s="164">
        <v>8000</v>
      </c>
      <c r="H45" s="3">
        <v>8000</v>
      </c>
    </row>
    <row r="46" spans="1:8">
      <c r="A46" s="76" t="s">
        <v>63</v>
      </c>
      <c r="B46" s="2" t="s">
        <v>64</v>
      </c>
      <c r="C46" s="4" t="s">
        <v>227</v>
      </c>
      <c r="D46" s="3">
        <v>10000</v>
      </c>
      <c r="E46" s="4" t="s">
        <v>0</v>
      </c>
      <c r="F46" s="164">
        <v>10580</v>
      </c>
      <c r="G46" s="164">
        <v>10580</v>
      </c>
      <c r="H46" s="3">
        <v>10580</v>
      </c>
    </row>
    <row r="47" spans="1:8">
      <c r="A47" s="76" t="s">
        <v>65</v>
      </c>
      <c r="B47" s="2" t="s">
        <v>66</v>
      </c>
      <c r="C47" s="4" t="s">
        <v>227</v>
      </c>
      <c r="D47" s="3">
        <v>144000</v>
      </c>
      <c r="E47" s="4" t="s">
        <v>0</v>
      </c>
      <c r="F47" s="164">
        <v>170000</v>
      </c>
      <c r="G47" s="164">
        <v>170000</v>
      </c>
      <c r="H47" s="3">
        <v>170000</v>
      </c>
    </row>
    <row r="48" spans="1:8">
      <c r="A48" s="76" t="s">
        <v>67</v>
      </c>
      <c r="B48" s="2" t="s">
        <v>68</v>
      </c>
      <c r="C48" s="4" t="s">
        <v>227</v>
      </c>
      <c r="D48" s="3">
        <v>0</v>
      </c>
      <c r="E48" s="4" t="s">
        <v>0</v>
      </c>
      <c r="F48" s="164">
        <v>200</v>
      </c>
      <c r="G48" s="164">
        <v>200</v>
      </c>
      <c r="H48" s="3">
        <v>200</v>
      </c>
    </row>
    <row r="49" spans="1:8">
      <c r="A49" s="76" t="s">
        <v>69</v>
      </c>
      <c r="B49" s="2" t="s">
        <v>58</v>
      </c>
      <c r="C49" s="4" t="s">
        <v>227</v>
      </c>
      <c r="D49" s="3">
        <v>700</v>
      </c>
      <c r="E49" s="4" t="s">
        <v>0</v>
      </c>
      <c r="F49" s="164">
        <v>1000</v>
      </c>
      <c r="G49" s="164">
        <v>1000</v>
      </c>
      <c r="H49" s="3">
        <v>1000</v>
      </c>
    </row>
    <row r="50" spans="1:8">
      <c r="A50" s="68" t="s">
        <v>70</v>
      </c>
      <c r="B50" s="6" t="s">
        <v>71</v>
      </c>
      <c r="C50" s="5" t="s">
        <v>227</v>
      </c>
      <c r="D50" s="1">
        <f>D51+D52</f>
        <v>9000</v>
      </c>
      <c r="E50" s="5" t="s">
        <v>0</v>
      </c>
      <c r="F50" s="159">
        <f>F51+F52</f>
        <v>8020</v>
      </c>
      <c r="G50" s="159">
        <f>G51+G52</f>
        <v>8020</v>
      </c>
      <c r="H50" s="1">
        <f>H51+H52</f>
        <v>8020</v>
      </c>
    </row>
    <row r="51" spans="1:8">
      <c r="A51" s="76" t="s">
        <v>72</v>
      </c>
      <c r="B51" s="2" t="s">
        <v>73</v>
      </c>
      <c r="C51" s="4" t="s">
        <v>227</v>
      </c>
      <c r="D51" s="3">
        <v>9000</v>
      </c>
      <c r="E51" s="4" t="s">
        <v>0</v>
      </c>
      <c r="F51" s="164">
        <v>8000</v>
      </c>
      <c r="G51" s="164">
        <v>8000</v>
      </c>
      <c r="H51" s="3">
        <v>8000</v>
      </c>
    </row>
    <row r="52" spans="1:8">
      <c r="A52" s="76" t="s">
        <v>74</v>
      </c>
      <c r="B52" s="2" t="s">
        <v>75</v>
      </c>
      <c r="C52" s="4" t="s">
        <v>227</v>
      </c>
      <c r="D52" s="3">
        <v>0</v>
      </c>
      <c r="E52" s="4" t="s">
        <v>0</v>
      </c>
      <c r="F52" s="164">
        <v>20</v>
      </c>
      <c r="G52" s="164">
        <v>20</v>
      </c>
      <c r="H52" s="3">
        <v>20</v>
      </c>
    </row>
    <row r="53" spans="1:8">
      <c r="A53" s="68" t="s">
        <v>88</v>
      </c>
      <c r="B53" s="6" t="s">
        <v>89</v>
      </c>
      <c r="C53" s="5" t="s">
        <v>227</v>
      </c>
      <c r="D53" s="1">
        <f>D54+D55</f>
        <v>10000</v>
      </c>
      <c r="E53" s="5" t="s">
        <v>0</v>
      </c>
      <c r="F53" s="159">
        <f>F54+F55</f>
        <v>6000</v>
      </c>
      <c r="G53" s="159">
        <f>G54+G55</f>
        <v>6000</v>
      </c>
      <c r="H53" s="1">
        <f>H54+H55</f>
        <v>6000</v>
      </c>
    </row>
    <row r="54" spans="1:8">
      <c r="A54" s="76" t="s">
        <v>90</v>
      </c>
      <c r="B54" s="2" t="s">
        <v>91</v>
      </c>
      <c r="C54" s="4" t="s">
        <v>227</v>
      </c>
      <c r="D54" s="3">
        <v>5000</v>
      </c>
      <c r="E54" s="4" t="s">
        <v>0</v>
      </c>
      <c r="F54" s="164">
        <v>3000</v>
      </c>
      <c r="G54" s="164">
        <v>3000</v>
      </c>
      <c r="H54" s="3">
        <v>3000</v>
      </c>
    </row>
    <row r="55" spans="1:8">
      <c r="A55" s="76" t="s">
        <v>94</v>
      </c>
      <c r="B55" s="2" t="s">
        <v>95</v>
      </c>
      <c r="C55" s="4" t="s">
        <v>227</v>
      </c>
      <c r="D55" s="3">
        <v>5000</v>
      </c>
      <c r="E55" s="4" t="s">
        <v>0</v>
      </c>
      <c r="F55" s="164">
        <v>3000</v>
      </c>
      <c r="G55" s="164">
        <v>3000</v>
      </c>
      <c r="H55" s="3">
        <v>3000</v>
      </c>
    </row>
    <row r="56" spans="1:8">
      <c r="A56" s="67" t="s">
        <v>148</v>
      </c>
      <c r="B56" s="11" t="s">
        <v>87</v>
      </c>
      <c r="C56" s="13" t="s">
        <v>227</v>
      </c>
      <c r="D56" s="12">
        <f>D57+D59</f>
        <v>40000</v>
      </c>
      <c r="E56" s="13" t="s">
        <v>0</v>
      </c>
      <c r="F56" s="158">
        <f>F57+F59</f>
        <v>50000</v>
      </c>
      <c r="G56" s="158">
        <f>G57+G59</f>
        <v>50000</v>
      </c>
      <c r="H56" s="12">
        <f>H57+H59</f>
        <v>50000</v>
      </c>
    </row>
    <row r="57" spans="1:8">
      <c r="A57" s="68" t="s">
        <v>88</v>
      </c>
      <c r="B57" s="6" t="s">
        <v>89</v>
      </c>
      <c r="C57" s="5" t="s">
        <v>227</v>
      </c>
      <c r="D57" s="1">
        <f>D58</f>
        <v>10000</v>
      </c>
      <c r="E57" s="5" t="s">
        <v>0</v>
      </c>
      <c r="F57" s="159">
        <f>F58</f>
        <v>10000</v>
      </c>
      <c r="G57" s="159">
        <f>G58</f>
        <v>10000</v>
      </c>
      <c r="H57" s="1">
        <f>H58</f>
        <v>10000</v>
      </c>
    </row>
    <row r="58" spans="1:8">
      <c r="A58" s="76" t="s">
        <v>90</v>
      </c>
      <c r="B58" s="2" t="s">
        <v>91</v>
      </c>
      <c r="C58" s="4" t="s">
        <v>227</v>
      </c>
      <c r="D58" s="3">
        <v>10000</v>
      </c>
      <c r="E58" s="4" t="s">
        <v>0</v>
      </c>
      <c r="F58" s="164">
        <v>10000</v>
      </c>
      <c r="G58" s="164">
        <v>10000</v>
      </c>
      <c r="H58" s="3">
        <v>10000</v>
      </c>
    </row>
    <row r="59" spans="1:8">
      <c r="A59" s="68" t="s">
        <v>140</v>
      </c>
      <c r="B59" s="6" t="s">
        <v>141</v>
      </c>
      <c r="C59" s="5" t="s">
        <v>227</v>
      </c>
      <c r="D59" s="1">
        <f>D60</f>
        <v>30000</v>
      </c>
      <c r="E59" s="5" t="s">
        <v>0</v>
      </c>
      <c r="F59" s="159">
        <f>F60</f>
        <v>40000</v>
      </c>
      <c r="G59" s="159">
        <f>G60</f>
        <v>40000</v>
      </c>
      <c r="H59" s="1">
        <f>H60</f>
        <v>40000</v>
      </c>
    </row>
    <row r="60" spans="1:8">
      <c r="A60" s="51" t="s">
        <v>142</v>
      </c>
      <c r="B60" s="14" t="s">
        <v>143</v>
      </c>
      <c r="C60" s="101" t="s">
        <v>227</v>
      </c>
      <c r="D60" s="15">
        <v>30000</v>
      </c>
      <c r="E60" s="101" t="s">
        <v>0</v>
      </c>
      <c r="F60" s="165">
        <v>40000</v>
      </c>
      <c r="G60" s="165">
        <v>40000</v>
      </c>
      <c r="H60" s="15">
        <v>40000</v>
      </c>
    </row>
    <row r="61" spans="1:8">
      <c r="A61" s="67" t="s">
        <v>146</v>
      </c>
      <c r="B61" s="11" t="s">
        <v>147</v>
      </c>
      <c r="C61" s="13"/>
      <c r="D61" s="12">
        <f>SUM(D62:D65)</f>
        <v>79383</v>
      </c>
      <c r="E61" s="13" t="s">
        <v>216</v>
      </c>
      <c r="F61" s="158">
        <f>SUM(F62:F65)</f>
        <v>0</v>
      </c>
      <c r="G61" s="158">
        <f>SUM(G62:G65)</f>
        <v>0</v>
      </c>
      <c r="H61" s="158">
        <v>0</v>
      </c>
    </row>
    <row r="62" spans="1:8">
      <c r="A62" s="76" t="s">
        <v>18</v>
      </c>
      <c r="B62" s="2" t="s">
        <v>19</v>
      </c>
      <c r="C62" s="4" t="s">
        <v>227</v>
      </c>
      <c r="D62" s="3">
        <v>7919</v>
      </c>
      <c r="E62" s="4" t="s">
        <v>216</v>
      </c>
      <c r="F62" s="164"/>
      <c r="G62" s="164"/>
      <c r="H62" s="3"/>
    </row>
    <row r="63" spans="1:8" s="44" customFormat="1">
      <c r="A63" s="76" t="s">
        <v>48</v>
      </c>
      <c r="B63" s="2" t="s">
        <v>49</v>
      </c>
      <c r="C63" s="4" t="s">
        <v>227</v>
      </c>
      <c r="D63" s="3">
        <v>61555</v>
      </c>
      <c r="E63" s="4" t="s">
        <v>216</v>
      </c>
      <c r="F63" s="164"/>
      <c r="G63" s="164"/>
      <c r="H63" s="164"/>
    </row>
    <row r="64" spans="1:8">
      <c r="A64" s="76" t="s">
        <v>56</v>
      </c>
      <c r="B64" s="2" t="s">
        <v>55</v>
      </c>
      <c r="C64" s="4" t="s">
        <v>227</v>
      </c>
      <c r="D64" s="3">
        <v>9120</v>
      </c>
      <c r="E64" s="4" t="s">
        <v>216</v>
      </c>
      <c r="F64" s="164"/>
      <c r="G64" s="164"/>
      <c r="H64" s="3"/>
    </row>
    <row r="65" spans="1:8">
      <c r="A65" s="76" t="s">
        <v>72</v>
      </c>
      <c r="B65" s="2" t="s">
        <v>73</v>
      </c>
      <c r="C65" s="4" t="s">
        <v>227</v>
      </c>
      <c r="D65" s="3">
        <v>789</v>
      </c>
      <c r="E65" s="4" t="s">
        <v>216</v>
      </c>
      <c r="F65" s="164"/>
      <c r="G65" s="164"/>
      <c r="H65" s="3"/>
    </row>
    <row r="66" spans="1:8">
      <c r="A66" s="67" t="s">
        <v>146</v>
      </c>
      <c r="B66" s="11" t="s">
        <v>147</v>
      </c>
      <c r="C66" s="13"/>
      <c r="D66" s="12">
        <f>D67</f>
        <v>15879</v>
      </c>
      <c r="E66" s="13" t="s">
        <v>264</v>
      </c>
      <c r="F66" s="158">
        <f t="shared" ref="F66:H67" si="1">F67</f>
        <v>0</v>
      </c>
      <c r="G66" s="158">
        <f t="shared" si="1"/>
        <v>0</v>
      </c>
      <c r="H66" s="12">
        <f t="shared" si="1"/>
        <v>0</v>
      </c>
    </row>
    <row r="67" spans="1:8">
      <c r="A67" s="68" t="s">
        <v>54</v>
      </c>
      <c r="B67" s="6" t="s">
        <v>55</v>
      </c>
      <c r="C67" s="5" t="s">
        <v>227</v>
      </c>
      <c r="D67" s="1">
        <f>D68</f>
        <v>15879</v>
      </c>
      <c r="E67" s="23">
        <v>52</v>
      </c>
      <c r="F67" s="159"/>
      <c r="G67" s="159">
        <f t="shared" si="1"/>
        <v>0</v>
      </c>
      <c r="H67" s="1">
        <f t="shared" si="1"/>
        <v>0</v>
      </c>
    </row>
    <row r="68" spans="1:8">
      <c r="A68" s="76" t="s">
        <v>56</v>
      </c>
      <c r="B68" s="2" t="s">
        <v>55</v>
      </c>
      <c r="C68" s="4" t="s">
        <v>227</v>
      </c>
      <c r="D68" s="3">
        <v>15879</v>
      </c>
      <c r="E68" s="4">
        <v>52</v>
      </c>
      <c r="F68" s="164"/>
      <c r="G68" s="164"/>
      <c r="H68" s="3"/>
    </row>
  </sheetData>
  <mergeCells count="2">
    <mergeCell ref="A12:H12"/>
    <mergeCell ref="A3:C11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97" orientation="landscape" r:id="rId1"/>
  <headerFooter>
    <oddFooter>&amp;CH A A&amp;R&amp;P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16</vt:i4>
      </vt:variant>
    </vt:vector>
  </HeadingPairs>
  <TitlesOfParts>
    <vt:vector size="27" baseType="lpstr">
      <vt:lpstr>NASLOVNA</vt:lpstr>
      <vt:lpstr> UKUPNO IZVORI</vt:lpstr>
      <vt:lpstr>MINGPO</vt:lpstr>
      <vt:lpstr>ZALIHE</vt:lpstr>
      <vt:lpstr> AOPT</vt:lpstr>
      <vt:lpstr>AIK</vt:lpstr>
      <vt:lpstr>DZM</vt:lpstr>
      <vt:lpstr>HZN</vt:lpstr>
      <vt:lpstr>HAA</vt:lpstr>
      <vt:lpstr>HAMAG-BICRO</vt:lpstr>
      <vt:lpstr>HCZP</vt:lpstr>
      <vt:lpstr>' AOPT'!Ispis_naslova</vt:lpstr>
      <vt:lpstr>AIK!Ispis_naslova</vt:lpstr>
      <vt:lpstr>DZM!Ispis_naslova</vt:lpstr>
      <vt:lpstr>HAA!Ispis_naslova</vt:lpstr>
      <vt:lpstr>HZN!Ispis_naslova</vt:lpstr>
      <vt:lpstr>MINGPO!Ispis_naslova</vt:lpstr>
      <vt:lpstr>ZALIHE!Ispis_naslova</vt:lpstr>
      <vt:lpstr>' AOPT'!Podrucje_ispisa</vt:lpstr>
      <vt:lpstr>AIK!Podrucje_ispisa</vt:lpstr>
      <vt:lpstr>DZM!Podrucje_ispisa</vt:lpstr>
      <vt:lpstr>HAA!Podrucje_ispisa</vt:lpstr>
      <vt:lpstr>'HAMAG-BICRO'!Podrucje_ispisa</vt:lpstr>
      <vt:lpstr>HCZP!Podrucje_ispisa</vt:lpstr>
      <vt:lpstr>HZN!Podrucje_ispisa</vt:lpstr>
      <vt:lpstr>MINGPO!Podrucje_ispisa</vt:lpstr>
      <vt:lpstr>ZALIHE!Podrucje_ispisa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Kalaminec</dc:creator>
  <cp:lastModifiedBy>Tea Šupe</cp:lastModifiedBy>
  <cp:lastPrinted>2016-12-19T07:31:41Z</cp:lastPrinted>
  <dcterms:created xsi:type="dcterms:W3CDTF">2015-06-11T08:00:38Z</dcterms:created>
  <dcterms:modified xsi:type="dcterms:W3CDTF">2017-02-06T11:18:12Z</dcterms:modified>
</cp:coreProperties>
</file>